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saichia\Desktop\進撃の副研究員\犯罪狀況及其分析\111年犯罪狀況及其分析\7. 完稿與出版\"/>
    </mc:Choice>
  </mc:AlternateContent>
  <bookViews>
    <workbookView xWindow="0" yWindow="0" windowWidth="28800" windowHeight="12255" tabRatio="823"/>
  </bookViews>
  <sheets>
    <sheet name="本篇表次" sheetId="44" r:id="rId1"/>
    <sheet name="本篇表次對應少年事件程序圖" sheetId="45" r:id="rId2"/>
    <sheet name="3-1-1" sheetId="41" r:id="rId3"/>
    <sheet name="3-1-2" sheetId="42" r:id="rId4"/>
    <sheet name="3-2-1" sheetId="1" r:id="rId5"/>
    <sheet name="3-2-2" sheetId="2" r:id="rId6"/>
    <sheet name="3-2-3" sheetId="3" r:id="rId7"/>
    <sheet name="3-2-4" sheetId="5" r:id="rId8"/>
    <sheet name="3-2-5" sheetId="4" r:id="rId9"/>
    <sheet name="3-2-6" sheetId="6" r:id="rId10"/>
    <sheet name="3-2-7" sheetId="7" r:id="rId11"/>
    <sheet name="3-2-8" sheetId="8" r:id="rId12"/>
    <sheet name="3-2-9" sheetId="9" r:id="rId13"/>
    <sheet name="3-2-10" sheetId="10" r:id="rId14"/>
    <sheet name="3-2-11" sheetId="11" r:id="rId15"/>
    <sheet name="3-2-12" sheetId="12" r:id="rId16"/>
    <sheet name="3-2-13" sheetId="13" r:id="rId17"/>
    <sheet name="3-2-14" sheetId="14" r:id="rId18"/>
    <sheet name="3-2-15" sheetId="18" r:id="rId19"/>
    <sheet name="3-2-16" sheetId="16" r:id="rId20"/>
    <sheet name="3-2-17" sheetId="15" r:id="rId21"/>
    <sheet name="3-2-18" sheetId="19" r:id="rId22"/>
    <sheet name="3-2-19" sheetId="20" r:id="rId23"/>
    <sheet name="3-2-20" sheetId="21" r:id="rId24"/>
    <sheet name="3-2-21" sheetId="23" r:id="rId25"/>
    <sheet name="3-2-22" sheetId="22" r:id="rId26"/>
    <sheet name="3-2-23" sheetId="43" r:id="rId27"/>
    <sheet name="3-2-24" sheetId="25" r:id="rId28"/>
    <sheet name="3-2-25" sheetId="26" r:id="rId29"/>
    <sheet name="3-2-26" sheetId="27" r:id="rId30"/>
    <sheet name="3-2-27" sheetId="28" r:id="rId31"/>
    <sheet name="3-3-1" sheetId="29" r:id="rId32"/>
    <sheet name="3-3-2" sheetId="30" r:id="rId33"/>
    <sheet name="3-3-3" sheetId="31" r:id="rId34"/>
    <sheet name="3-3-4" sheetId="32" r:id="rId35"/>
    <sheet name="3-3-5" sheetId="33" r:id="rId36"/>
    <sheet name="3-3-6" sheetId="34" r:id="rId37"/>
    <sheet name="3-3-7" sheetId="35" r:id="rId38"/>
    <sheet name="3-3-8" sheetId="36" r:id="rId39"/>
    <sheet name="3-3-9" sheetId="37" r:id="rId40"/>
    <sheet name="3-3-10" sheetId="38" r:id="rId41"/>
    <sheet name="3-3-11" sheetId="39" r:id="rId42"/>
    <sheet name="3-3-12" sheetId="40" r:id="rId43"/>
  </sheets>
  <definedNames>
    <definedName name="_xlnm.Print_Area" localSheetId="2">'3-1-1'!$A$1:$G$16</definedName>
    <definedName name="_xlnm.Print_Area" localSheetId="3">'3-1-2'!$A$1:$U$42</definedName>
    <definedName name="_xlnm.Print_Area" localSheetId="4">'3-2-1'!$A$1:$G$30</definedName>
    <definedName name="_xlnm.Print_Area" localSheetId="13">'3-2-10'!$A$1:$K$23</definedName>
    <definedName name="_xlnm.Print_Area" localSheetId="14">'3-2-11'!$A$1:$K$19</definedName>
    <definedName name="_xlnm.Print_Area" localSheetId="15">'3-2-12'!$A$1:$K$23</definedName>
    <definedName name="_xlnm.Print_Area" localSheetId="16">'3-2-13'!$A$1:$W$33</definedName>
    <definedName name="_xlnm.Print_Area" localSheetId="17">'3-2-14'!$A$1:$K$17</definedName>
    <definedName name="_xlnm.Print_Area" localSheetId="18">'3-2-15'!$A$1:$K$21</definedName>
    <definedName name="_xlnm.Print_Area" localSheetId="19">'3-2-16'!$A$1:$K$26</definedName>
    <definedName name="_xlnm.Print_Area" localSheetId="20">'3-2-17'!$A$1:$U$21</definedName>
    <definedName name="_xlnm.Print_Area" localSheetId="21">'3-2-18'!$A$1:$K$23</definedName>
    <definedName name="_xlnm.Print_Area" localSheetId="22">'3-2-19'!$A$1:$K$19</definedName>
    <definedName name="_xlnm.Print_Area" localSheetId="5">'3-2-2'!$A$1:$N$19</definedName>
    <definedName name="_xlnm.Print_Area" localSheetId="23">'3-2-20'!$A$1:$K$23</definedName>
    <definedName name="_xlnm.Print_Area" localSheetId="24">'3-2-21'!$A$1:$U$25</definedName>
    <definedName name="_xlnm.Print_Area" localSheetId="6">'3-2-3'!$A$1:$E$34</definedName>
    <definedName name="_xlnm.Print_Area" localSheetId="7">'3-2-4'!$A$1:$P$18</definedName>
    <definedName name="_xlnm.Print_Area" localSheetId="8">'3-2-5'!$A$1:$W$75</definedName>
    <definedName name="_xlnm.Print_Area" localSheetId="9">'3-2-6'!$A$1:$K$27</definedName>
    <definedName name="_xlnm.Print_Area" localSheetId="10">'3-2-7'!$A$1:$O$54</definedName>
    <definedName name="_xlnm.Print_Area" localSheetId="11">'3-2-8'!$A$1:$K$27</definedName>
    <definedName name="_xlnm.Print_Area" localSheetId="12">'3-2-9'!$A$1:$U$21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8" i="5" l="1"/>
  <c r="P9" i="5"/>
  <c r="P10" i="5"/>
  <c r="P11" i="5"/>
  <c r="P12" i="5"/>
  <c r="P13" i="5"/>
  <c r="P14" i="5"/>
  <c r="P15" i="5"/>
  <c r="P16" i="5"/>
  <c r="P7" i="5"/>
  <c r="K8" i="5"/>
  <c r="K9" i="5"/>
  <c r="K10" i="5"/>
  <c r="K11" i="5"/>
  <c r="K12" i="5"/>
  <c r="K13" i="5"/>
  <c r="K14" i="5"/>
  <c r="K15" i="5"/>
  <c r="K16" i="5"/>
  <c r="K7" i="5"/>
  <c r="H16" i="5"/>
  <c r="H15" i="5"/>
  <c r="H14" i="5"/>
  <c r="H13" i="5"/>
  <c r="H12" i="5"/>
  <c r="H11" i="5"/>
  <c r="H10" i="5"/>
  <c r="H9" i="5"/>
  <c r="H8" i="5"/>
  <c r="H7" i="5"/>
  <c r="E8" i="5"/>
  <c r="E9" i="5"/>
  <c r="E10" i="5"/>
  <c r="E11" i="5"/>
  <c r="E12" i="5"/>
  <c r="E13" i="5"/>
  <c r="E14" i="5"/>
  <c r="E15" i="5"/>
  <c r="E16" i="5"/>
  <c r="E7" i="5"/>
  <c r="P31" i="33" l="1"/>
  <c r="O31" i="33"/>
  <c r="O5" i="33"/>
  <c r="E23" i="43" l="1"/>
  <c r="C23" i="43"/>
  <c r="E22" i="43"/>
  <c r="C22" i="43"/>
  <c r="E20" i="43"/>
  <c r="C20" i="43"/>
  <c r="E21" i="43"/>
  <c r="C21" i="43"/>
  <c r="E19" i="43"/>
  <c r="C19" i="43"/>
  <c r="E18" i="43"/>
  <c r="C18" i="43"/>
  <c r="E17" i="43"/>
  <c r="C17" i="43"/>
  <c r="E16" i="43"/>
  <c r="C16" i="43"/>
  <c r="J15" i="43"/>
  <c r="K23" i="43" s="1"/>
  <c r="H15" i="43"/>
  <c r="I22" i="43" s="1"/>
  <c r="F15" i="43"/>
  <c r="G20" i="43" s="1"/>
  <c r="K12" i="43"/>
  <c r="I12" i="43"/>
  <c r="G12" i="43"/>
  <c r="E12" i="43"/>
  <c r="C12" i="43"/>
  <c r="K11" i="43"/>
  <c r="I11" i="43"/>
  <c r="G11" i="43"/>
  <c r="E11" i="43"/>
  <c r="C11" i="43"/>
  <c r="K9" i="43"/>
  <c r="I9" i="43"/>
  <c r="G9" i="43"/>
  <c r="E9" i="43"/>
  <c r="C9" i="43"/>
  <c r="K10" i="43"/>
  <c r="I10" i="43"/>
  <c r="G10" i="43"/>
  <c r="E10" i="43"/>
  <c r="C10" i="43"/>
  <c r="K8" i="43"/>
  <c r="I8" i="43"/>
  <c r="G8" i="43"/>
  <c r="E8" i="43"/>
  <c r="C8" i="43"/>
  <c r="K7" i="43"/>
  <c r="I7" i="43"/>
  <c r="G7" i="43"/>
  <c r="E7" i="43"/>
  <c r="C7" i="43"/>
  <c r="K6" i="43"/>
  <c r="I6" i="43"/>
  <c r="G6" i="43"/>
  <c r="E6" i="43"/>
  <c r="C6" i="43"/>
  <c r="K5" i="43"/>
  <c r="I5" i="43"/>
  <c r="G5" i="43"/>
  <c r="E5" i="43"/>
  <c r="C5" i="43"/>
  <c r="C15" i="43" l="1"/>
  <c r="C4" i="43"/>
  <c r="E4" i="43"/>
  <c r="I18" i="43"/>
  <c r="I20" i="43"/>
  <c r="G4" i="43"/>
  <c r="I4" i="43"/>
  <c r="K4" i="43"/>
  <c r="E15" i="43"/>
  <c r="I19" i="43"/>
  <c r="K16" i="43"/>
  <c r="G21" i="43"/>
  <c r="K22" i="43"/>
  <c r="G19" i="43"/>
  <c r="I21" i="43"/>
  <c r="K20" i="43"/>
  <c r="G17" i="43"/>
  <c r="G23" i="43"/>
  <c r="K18" i="43"/>
  <c r="G18" i="43"/>
  <c r="K21" i="43"/>
  <c r="K19" i="43"/>
  <c r="G16" i="43"/>
  <c r="I17" i="43"/>
  <c r="G22" i="43"/>
  <c r="I23" i="43"/>
  <c r="I16" i="43"/>
  <c r="K17" i="43"/>
  <c r="G15" i="43" l="1"/>
  <c r="K15" i="43"/>
  <c r="I15" i="43"/>
  <c r="B12" i="7"/>
  <c r="U35" i="42" l="1"/>
  <c r="U39" i="42" l="1"/>
  <c r="U36" i="42"/>
  <c r="U40" i="42"/>
  <c r="U41" i="42"/>
  <c r="U42" i="42"/>
  <c r="U37" i="42"/>
  <c r="U47" i="42"/>
  <c r="U48" i="42"/>
  <c r="U49" i="42"/>
  <c r="U50" i="42"/>
  <c r="U25" i="42"/>
  <c r="U51" i="42"/>
  <c r="U24" i="42"/>
  <c r="U31" i="42"/>
  <c r="U29" i="42"/>
  <c r="U26" i="42"/>
  <c r="U34" i="42"/>
  <c r="U32" i="42"/>
  <c r="U30" i="42"/>
  <c r="U27" i="42"/>
  <c r="U33" i="42"/>
  <c r="U38" i="42"/>
  <c r="U10" i="42"/>
  <c r="U12" i="42"/>
  <c r="U13" i="42"/>
  <c r="U14" i="42"/>
  <c r="U15" i="42"/>
  <c r="U16" i="42"/>
  <c r="U17" i="42"/>
  <c r="U23" i="42"/>
  <c r="U19" i="42"/>
  <c r="U20" i="42"/>
  <c r="U18" i="42"/>
  <c r="U21" i="42"/>
  <c r="U22" i="42"/>
  <c r="U28" i="42"/>
  <c r="U7" i="42"/>
  <c r="U6" i="42"/>
  <c r="U8" i="42"/>
  <c r="U9" i="42"/>
  <c r="U11" i="42"/>
  <c r="U5" i="42"/>
  <c r="C5" i="42" l="1"/>
  <c r="E5" i="42"/>
  <c r="G5" i="42"/>
  <c r="I5" i="42"/>
  <c r="K5" i="42"/>
  <c r="M5" i="42"/>
  <c r="O5" i="42"/>
  <c r="Q5" i="42"/>
  <c r="S5" i="42"/>
  <c r="C7" i="42"/>
  <c r="E7" i="42"/>
  <c r="G7" i="42"/>
  <c r="I7" i="42"/>
  <c r="K7" i="42"/>
  <c r="M7" i="42"/>
  <c r="O7" i="42"/>
  <c r="Q7" i="42"/>
  <c r="S7" i="42"/>
  <c r="C6" i="42"/>
  <c r="E6" i="42"/>
  <c r="G6" i="42"/>
  <c r="I6" i="42"/>
  <c r="K6" i="42"/>
  <c r="M6" i="42"/>
  <c r="O6" i="42"/>
  <c r="Q6" i="42"/>
  <c r="S6" i="42"/>
  <c r="C8" i="42"/>
  <c r="E8" i="42"/>
  <c r="G8" i="42"/>
  <c r="I8" i="42"/>
  <c r="K8" i="42"/>
  <c r="M8" i="42"/>
  <c r="O8" i="42"/>
  <c r="Q8" i="42"/>
  <c r="S8" i="42"/>
  <c r="C9" i="42"/>
  <c r="E9" i="42"/>
  <c r="G9" i="42"/>
  <c r="I9" i="42"/>
  <c r="K9" i="42"/>
  <c r="M9" i="42"/>
  <c r="O9" i="42"/>
  <c r="Q9" i="42"/>
  <c r="S9" i="42"/>
  <c r="C11" i="42"/>
  <c r="E11" i="42"/>
  <c r="G11" i="42"/>
  <c r="I11" i="42"/>
  <c r="K11" i="42"/>
  <c r="M11" i="42"/>
  <c r="O11" i="42"/>
  <c r="Q11" i="42"/>
  <c r="S11" i="42"/>
  <c r="C10" i="42"/>
  <c r="E10" i="42"/>
  <c r="G10" i="42"/>
  <c r="I10" i="42"/>
  <c r="K10" i="42"/>
  <c r="M10" i="42"/>
  <c r="O10" i="42"/>
  <c r="Q10" i="42"/>
  <c r="S10" i="42"/>
  <c r="C12" i="42"/>
  <c r="E12" i="42"/>
  <c r="G12" i="42"/>
  <c r="I12" i="42"/>
  <c r="K12" i="42"/>
  <c r="M12" i="42"/>
  <c r="O12" i="42"/>
  <c r="Q12" i="42"/>
  <c r="S12" i="42"/>
  <c r="C13" i="42"/>
  <c r="E13" i="42"/>
  <c r="G13" i="42"/>
  <c r="I13" i="42"/>
  <c r="K13" i="42"/>
  <c r="M13" i="42"/>
  <c r="O13" i="42"/>
  <c r="Q13" i="42"/>
  <c r="S13" i="42"/>
  <c r="C14" i="42"/>
  <c r="E14" i="42"/>
  <c r="G14" i="42"/>
  <c r="I14" i="42"/>
  <c r="K14" i="42"/>
  <c r="M14" i="42"/>
  <c r="O14" i="42"/>
  <c r="Q14" i="42"/>
  <c r="S14" i="42"/>
  <c r="C15" i="42"/>
  <c r="E15" i="42"/>
  <c r="G15" i="42"/>
  <c r="I15" i="42"/>
  <c r="K15" i="42"/>
  <c r="M15" i="42"/>
  <c r="O15" i="42"/>
  <c r="Q15" i="42"/>
  <c r="S15" i="42"/>
  <c r="C16" i="42"/>
  <c r="E16" i="42"/>
  <c r="G16" i="42"/>
  <c r="I16" i="42"/>
  <c r="K16" i="42"/>
  <c r="M16" i="42"/>
  <c r="O16" i="42"/>
  <c r="Q16" i="42"/>
  <c r="S16" i="42"/>
  <c r="C17" i="42"/>
  <c r="E17" i="42"/>
  <c r="G17" i="42"/>
  <c r="I17" i="42"/>
  <c r="K17" i="42"/>
  <c r="M17" i="42"/>
  <c r="O17" i="42"/>
  <c r="Q17" i="42"/>
  <c r="S17" i="42"/>
  <c r="C23" i="42"/>
  <c r="E23" i="42"/>
  <c r="G23" i="42"/>
  <c r="I23" i="42"/>
  <c r="K23" i="42"/>
  <c r="M23" i="42"/>
  <c r="O23" i="42"/>
  <c r="Q23" i="42"/>
  <c r="S23" i="42"/>
  <c r="C19" i="42"/>
  <c r="E19" i="42"/>
  <c r="G19" i="42"/>
  <c r="I19" i="42"/>
  <c r="K19" i="42"/>
  <c r="M19" i="42"/>
  <c r="O19" i="42"/>
  <c r="Q19" i="42"/>
  <c r="S19" i="42"/>
  <c r="C20" i="42"/>
  <c r="E20" i="42"/>
  <c r="G20" i="42"/>
  <c r="I20" i="42"/>
  <c r="K20" i="42"/>
  <c r="M20" i="42"/>
  <c r="O20" i="42"/>
  <c r="Q20" i="42"/>
  <c r="S20" i="42"/>
  <c r="C18" i="42"/>
  <c r="E18" i="42"/>
  <c r="G18" i="42"/>
  <c r="I18" i="42"/>
  <c r="K18" i="42"/>
  <c r="M18" i="42"/>
  <c r="O18" i="42"/>
  <c r="Q18" i="42"/>
  <c r="S18" i="42"/>
  <c r="C21" i="42"/>
  <c r="E21" i="42"/>
  <c r="G21" i="42"/>
  <c r="I21" i="42"/>
  <c r="K21" i="42"/>
  <c r="M21" i="42"/>
  <c r="O21" i="42"/>
  <c r="Q21" i="42"/>
  <c r="S21" i="42"/>
  <c r="C22" i="42"/>
  <c r="E22" i="42"/>
  <c r="G22" i="42"/>
  <c r="I22" i="42"/>
  <c r="K22" i="42"/>
  <c r="M22" i="42"/>
  <c r="O22" i="42"/>
  <c r="Q22" i="42"/>
  <c r="S22" i="42"/>
  <c r="C28" i="42"/>
  <c r="E28" i="42"/>
  <c r="G28" i="42"/>
  <c r="I28" i="42"/>
  <c r="K28" i="42"/>
  <c r="M28" i="42"/>
  <c r="O28" i="42"/>
  <c r="Q28" i="42"/>
  <c r="S28" i="42"/>
  <c r="C24" i="42"/>
  <c r="E24" i="42"/>
  <c r="G24" i="42"/>
  <c r="I24" i="42"/>
  <c r="K24" i="42"/>
  <c r="M24" i="42"/>
  <c r="O24" i="42"/>
  <c r="Q24" i="42"/>
  <c r="S24" i="42"/>
  <c r="C31" i="42"/>
  <c r="E31" i="42"/>
  <c r="G31" i="42"/>
  <c r="I31" i="42"/>
  <c r="K31" i="42"/>
  <c r="M31" i="42"/>
  <c r="O31" i="42"/>
  <c r="Q31" i="42"/>
  <c r="S31" i="42"/>
  <c r="C29" i="42"/>
  <c r="E29" i="42"/>
  <c r="G29" i="42"/>
  <c r="I29" i="42"/>
  <c r="K29" i="42"/>
  <c r="M29" i="42"/>
  <c r="O29" i="42"/>
  <c r="Q29" i="42"/>
  <c r="S29" i="42"/>
  <c r="C26" i="42"/>
  <c r="E26" i="42"/>
  <c r="G26" i="42"/>
  <c r="I26" i="42"/>
  <c r="K26" i="42"/>
  <c r="M26" i="42"/>
  <c r="O26" i="42"/>
  <c r="Q26" i="42"/>
  <c r="S26" i="42"/>
  <c r="C34" i="42"/>
  <c r="E34" i="42"/>
  <c r="G34" i="42"/>
  <c r="I34" i="42"/>
  <c r="K34" i="42"/>
  <c r="M34" i="42"/>
  <c r="O34" i="42"/>
  <c r="Q34" i="42"/>
  <c r="S34" i="42"/>
  <c r="C32" i="42"/>
  <c r="E32" i="42"/>
  <c r="G32" i="42"/>
  <c r="I32" i="42"/>
  <c r="K32" i="42"/>
  <c r="M32" i="42"/>
  <c r="O32" i="42"/>
  <c r="Q32" i="42"/>
  <c r="S32" i="42"/>
  <c r="C30" i="42"/>
  <c r="E30" i="42"/>
  <c r="G30" i="42"/>
  <c r="I30" i="42"/>
  <c r="K30" i="42"/>
  <c r="M30" i="42"/>
  <c r="O30" i="42"/>
  <c r="Q30" i="42"/>
  <c r="S30" i="42"/>
  <c r="C27" i="42"/>
  <c r="E27" i="42"/>
  <c r="G27" i="42"/>
  <c r="I27" i="42"/>
  <c r="K27" i="42"/>
  <c r="M27" i="42"/>
  <c r="O27" i="42"/>
  <c r="Q27" i="42"/>
  <c r="S27" i="42"/>
  <c r="C33" i="42"/>
  <c r="E33" i="42"/>
  <c r="G33" i="42"/>
  <c r="I33" i="42"/>
  <c r="K33" i="42"/>
  <c r="M33" i="42"/>
  <c r="O33" i="42"/>
  <c r="Q33" i="42"/>
  <c r="S33" i="42"/>
  <c r="C43" i="42"/>
  <c r="E43" i="42"/>
  <c r="G43" i="42"/>
  <c r="I43" i="42"/>
  <c r="K43" i="42"/>
  <c r="M43" i="42"/>
  <c r="O43" i="42"/>
  <c r="Q43" i="42"/>
  <c r="S43" i="42"/>
  <c r="C44" i="42"/>
  <c r="E44" i="42"/>
  <c r="G44" i="42"/>
  <c r="I44" i="42"/>
  <c r="K44" i="42"/>
  <c r="M44" i="42"/>
  <c r="O44" i="42"/>
  <c r="Q44" i="42"/>
  <c r="S44" i="42"/>
  <c r="C35" i="42"/>
  <c r="E35" i="42"/>
  <c r="G35" i="42"/>
  <c r="I35" i="42"/>
  <c r="K35" i="42"/>
  <c r="M35" i="42"/>
  <c r="O35" i="42"/>
  <c r="Q35" i="42"/>
  <c r="S35" i="42"/>
  <c r="C38" i="42"/>
  <c r="E38" i="42"/>
  <c r="G38" i="42"/>
  <c r="I38" i="42"/>
  <c r="K38" i="42"/>
  <c r="M38" i="42"/>
  <c r="O38" i="42"/>
  <c r="Q38" i="42"/>
  <c r="S38" i="42"/>
  <c r="C39" i="42"/>
  <c r="E39" i="42"/>
  <c r="G39" i="42"/>
  <c r="I39" i="42"/>
  <c r="K39" i="42"/>
  <c r="M39" i="42"/>
  <c r="O39" i="42"/>
  <c r="Q39" i="42"/>
  <c r="S39" i="42"/>
  <c r="C36" i="42"/>
  <c r="E36" i="42"/>
  <c r="G36" i="42"/>
  <c r="I36" i="42"/>
  <c r="K36" i="42"/>
  <c r="M36" i="42"/>
  <c r="O36" i="42"/>
  <c r="Q36" i="42"/>
  <c r="S36" i="42"/>
  <c r="C40" i="42"/>
  <c r="E40" i="42"/>
  <c r="G40" i="42"/>
  <c r="I40" i="42"/>
  <c r="K40" i="42"/>
  <c r="M40" i="42"/>
  <c r="O40" i="42"/>
  <c r="Q40" i="42"/>
  <c r="S40" i="42"/>
  <c r="C41" i="42"/>
  <c r="E41" i="42"/>
  <c r="G41" i="42"/>
  <c r="I41" i="42"/>
  <c r="K41" i="42"/>
  <c r="M41" i="42"/>
  <c r="O41" i="42"/>
  <c r="Q41" i="42"/>
  <c r="S41" i="42"/>
  <c r="C45" i="42"/>
  <c r="E45" i="42"/>
  <c r="G45" i="42"/>
  <c r="I45" i="42"/>
  <c r="K45" i="42"/>
  <c r="M45" i="42"/>
  <c r="O45" i="42"/>
  <c r="Q45" i="42"/>
  <c r="S45" i="42"/>
  <c r="C46" i="42"/>
  <c r="E46" i="42"/>
  <c r="G46" i="42"/>
  <c r="I46" i="42"/>
  <c r="K46" i="42"/>
  <c r="M46" i="42"/>
  <c r="O46" i="42"/>
  <c r="Q46" i="42"/>
  <c r="S46" i="42"/>
  <c r="C42" i="42"/>
  <c r="E42" i="42"/>
  <c r="G42" i="42"/>
  <c r="I42" i="42"/>
  <c r="K42" i="42"/>
  <c r="M42" i="42"/>
  <c r="O42" i="42"/>
  <c r="Q42" i="42"/>
  <c r="S42" i="42"/>
  <c r="C37" i="42"/>
  <c r="E37" i="42"/>
  <c r="G37" i="42"/>
  <c r="I37" i="42"/>
  <c r="K37" i="42"/>
  <c r="M37" i="42"/>
  <c r="O37" i="42"/>
  <c r="Q37" i="42"/>
  <c r="S37" i="42"/>
  <c r="C47" i="42"/>
  <c r="E47" i="42"/>
  <c r="G47" i="42"/>
  <c r="I47" i="42"/>
  <c r="K47" i="42"/>
  <c r="M47" i="42"/>
  <c r="O47" i="42"/>
  <c r="Q47" i="42"/>
  <c r="S47" i="42"/>
  <c r="C48" i="42"/>
  <c r="E48" i="42"/>
  <c r="G48" i="42"/>
  <c r="I48" i="42"/>
  <c r="K48" i="42"/>
  <c r="M48" i="42"/>
  <c r="O48" i="42"/>
  <c r="Q48" i="42"/>
  <c r="S48" i="42"/>
  <c r="C49" i="42"/>
  <c r="E49" i="42"/>
  <c r="G49" i="42"/>
  <c r="I49" i="42"/>
  <c r="K49" i="42"/>
  <c r="M49" i="42"/>
  <c r="O49" i="42"/>
  <c r="Q49" i="42"/>
  <c r="S49" i="42"/>
  <c r="C50" i="42"/>
  <c r="E50" i="42"/>
  <c r="G50" i="42"/>
  <c r="I50" i="42"/>
  <c r="K50" i="42"/>
  <c r="M50" i="42"/>
  <c r="O50" i="42"/>
  <c r="Q50" i="42"/>
  <c r="S50" i="42"/>
  <c r="C25" i="42"/>
  <c r="E25" i="42"/>
  <c r="G25" i="42"/>
  <c r="I25" i="42"/>
  <c r="K25" i="42"/>
  <c r="M25" i="42"/>
  <c r="O25" i="42"/>
  <c r="Q25" i="42"/>
  <c r="S25" i="42"/>
  <c r="C51" i="42"/>
  <c r="E51" i="42"/>
  <c r="G51" i="42"/>
  <c r="I51" i="42"/>
  <c r="K51" i="42"/>
  <c r="M51" i="42"/>
  <c r="O51" i="42"/>
  <c r="Q51" i="42"/>
  <c r="S51" i="42"/>
  <c r="O4" i="42" l="1"/>
  <c r="K4" i="42"/>
  <c r="M4" i="42"/>
  <c r="Q4" i="42"/>
  <c r="I4" i="42"/>
  <c r="G4" i="42"/>
  <c r="E4" i="42"/>
  <c r="S4" i="42"/>
  <c r="C4" i="42"/>
  <c r="G13" i="41"/>
  <c r="D13" i="41"/>
  <c r="G12" i="41"/>
  <c r="D12" i="41"/>
  <c r="G11" i="41"/>
  <c r="D11" i="41"/>
  <c r="G10" i="41"/>
  <c r="D10" i="41"/>
  <c r="G9" i="41"/>
  <c r="D9" i="41"/>
  <c r="G8" i="41"/>
  <c r="D8" i="41"/>
  <c r="G7" i="41"/>
  <c r="D7" i="41"/>
  <c r="G6" i="41"/>
  <c r="D6" i="41"/>
  <c r="G5" i="41"/>
  <c r="D5" i="41"/>
  <c r="G14" i="41"/>
  <c r="D14" i="41"/>
  <c r="U4" i="42" l="1"/>
  <c r="C6" i="40"/>
  <c r="D6" i="40"/>
  <c r="E6" i="40"/>
  <c r="E4" i="40" s="1"/>
  <c r="F6" i="40"/>
  <c r="F4" i="40" s="1"/>
  <c r="G6" i="40"/>
  <c r="G4" i="40" s="1"/>
  <c r="C8" i="40"/>
  <c r="C4" i="40" s="1"/>
  <c r="D8" i="40"/>
  <c r="D4" i="40" s="1"/>
  <c r="E8" i="40"/>
  <c r="F8" i="40"/>
  <c r="G8" i="40"/>
  <c r="C4" i="38"/>
  <c r="C7" i="38" s="1"/>
  <c r="D4" i="38"/>
  <c r="D9" i="38" s="1"/>
  <c r="E4" i="38"/>
  <c r="E9" i="38" s="1"/>
  <c r="F4" i="38"/>
  <c r="F9" i="38" s="1"/>
  <c r="G4" i="38"/>
  <c r="G9" i="38" s="1"/>
  <c r="H4" i="38"/>
  <c r="H9" i="38" s="1"/>
  <c r="I4" i="38"/>
  <c r="J4" i="38"/>
  <c r="J9" i="38" s="1"/>
  <c r="K4" i="38"/>
  <c r="K9" i="38" s="1"/>
  <c r="L4" i="38"/>
  <c r="M4" i="38"/>
  <c r="M11" i="38" s="1"/>
  <c r="N4" i="38"/>
  <c r="N11" i="38" s="1"/>
  <c r="O4" i="38"/>
  <c r="O7" i="38" s="1"/>
  <c r="P4" i="38"/>
  <c r="P9" i="38" s="1"/>
  <c r="Q4" i="38"/>
  <c r="Q9" i="38" s="1"/>
  <c r="E7" i="38"/>
  <c r="I7" i="38"/>
  <c r="J7" i="38"/>
  <c r="M7" i="38"/>
  <c r="N7" i="38"/>
  <c r="Q7" i="38"/>
  <c r="C9" i="38"/>
  <c r="I9" i="38"/>
  <c r="M9" i="38"/>
  <c r="N9" i="38"/>
  <c r="O9" i="38"/>
  <c r="C11" i="38"/>
  <c r="I11" i="38"/>
  <c r="J11" i="38"/>
  <c r="K11" i="38"/>
  <c r="Q11" i="38"/>
  <c r="C4" i="37"/>
  <c r="C9" i="37" s="1"/>
  <c r="D4" i="37"/>
  <c r="D7" i="37" s="1"/>
  <c r="E4" i="37"/>
  <c r="F4" i="37"/>
  <c r="F7" i="37" s="1"/>
  <c r="G4" i="37"/>
  <c r="G9" i="37" s="1"/>
  <c r="H4" i="37"/>
  <c r="I4" i="37"/>
  <c r="J4" i="37"/>
  <c r="J15" i="37" s="1"/>
  <c r="K4" i="37"/>
  <c r="K9" i="37" s="1"/>
  <c r="L4" i="37"/>
  <c r="M4" i="37"/>
  <c r="M9" i="37" s="1"/>
  <c r="N4" i="37"/>
  <c r="N9" i="37" s="1"/>
  <c r="O4" i="37"/>
  <c r="P4" i="37"/>
  <c r="Q4" i="37"/>
  <c r="C7" i="37"/>
  <c r="E7" i="37"/>
  <c r="L7" i="37"/>
  <c r="M7" i="37"/>
  <c r="N7" i="37"/>
  <c r="D9" i="37"/>
  <c r="E9" i="37"/>
  <c r="E11" i="37"/>
  <c r="F11" i="37"/>
  <c r="G11" i="37"/>
  <c r="J11" i="37"/>
  <c r="L11" i="37"/>
  <c r="M11" i="37"/>
  <c r="N11" i="37"/>
  <c r="D13" i="37"/>
  <c r="E13" i="37"/>
  <c r="E5" i="37" s="1"/>
  <c r="F13" i="37"/>
  <c r="E15" i="37"/>
  <c r="F15" i="37"/>
  <c r="K15" i="37"/>
  <c r="L15" i="37"/>
  <c r="C4" i="36"/>
  <c r="C7" i="36" s="1"/>
  <c r="D4" i="36"/>
  <c r="D15" i="36" s="1"/>
  <c r="E4" i="36"/>
  <c r="E11" i="36" s="1"/>
  <c r="F4" i="36"/>
  <c r="F7" i="36" s="1"/>
  <c r="G4" i="36"/>
  <c r="G13" i="36" s="1"/>
  <c r="H4" i="36"/>
  <c r="H7" i="36" s="1"/>
  <c r="I4" i="36"/>
  <c r="I7" i="36" s="1"/>
  <c r="J4" i="36"/>
  <c r="J9" i="36" s="1"/>
  <c r="K4" i="36"/>
  <c r="K13" i="36" s="1"/>
  <c r="L4" i="36"/>
  <c r="L9" i="36" s="1"/>
  <c r="M4" i="36"/>
  <c r="M19" i="36" s="1"/>
  <c r="N4" i="36"/>
  <c r="N17" i="36" s="1"/>
  <c r="O4" i="36"/>
  <c r="O9" i="36" s="1"/>
  <c r="P4" i="36"/>
  <c r="P11" i="36" s="1"/>
  <c r="Q4" i="36"/>
  <c r="K7" i="36"/>
  <c r="P7" i="36"/>
  <c r="Q7" i="36"/>
  <c r="C9" i="36"/>
  <c r="J11" i="36"/>
  <c r="K11" i="36"/>
  <c r="M11" i="36"/>
  <c r="N11" i="36"/>
  <c r="M15" i="36"/>
  <c r="E19" i="36"/>
  <c r="J19" i="36"/>
  <c r="K19" i="36"/>
  <c r="M21" i="36"/>
  <c r="C4" i="34"/>
  <c r="C11" i="34" s="1"/>
  <c r="D4" i="34"/>
  <c r="D9" i="34" s="1"/>
  <c r="E4" i="34"/>
  <c r="E9" i="34" s="1"/>
  <c r="F4" i="34"/>
  <c r="F9" i="34" s="1"/>
  <c r="G4" i="34"/>
  <c r="G7" i="34" s="1"/>
  <c r="H4" i="34"/>
  <c r="H7" i="34" s="1"/>
  <c r="I4" i="34"/>
  <c r="I9" i="34" s="1"/>
  <c r="J4" i="34"/>
  <c r="K4" i="34"/>
  <c r="K7" i="34" s="1"/>
  <c r="L4" i="34"/>
  <c r="L9" i="34" s="1"/>
  <c r="M4" i="34"/>
  <c r="M9" i="34" s="1"/>
  <c r="N4" i="34"/>
  <c r="N7" i="34" s="1"/>
  <c r="O4" i="34"/>
  <c r="O7" i="34" s="1"/>
  <c r="P4" i="34"/>
  <c r="P11" i="34" s="1"/>
  <c r="Q4" i="34"/>
  <c r="Q9" i="34" s="1"/>
  <c r="E7" i="34"/>
  <c r="F7" i="34"/>
  <c r="G9" i="34"/>
  <c r="N9" i="34"/>
  <c r="E11" i="34"/>
  <c r="F11" i="34"/>
  <c r="G11" i="34"/>
  <c r="C4" i="33"/>
  <c r="C21" i="33" s="1"/>
  <c r="D4" i="33"/>
  <c r="D7" i="33" s="1"/>
  <c r="E4" i="33"/>
  <c r="E15" i="33" s="1"/>
  <c r="F4" i="33"/>
  <c r="F35" i="33" s="1"/>
  <c r="G4" i="33"/>
  <c r="G15" i="33" s="1"/>
  <c r="H4" i="33"/>
  <c r="H7" i="33" s="1"/>
  <c r="I4" i="33"/>
  <c r="I29" i="33" s="1"/>
  <c r="J4" i="33"/>
  <c r="J19" i="33" s="1"/>
  <c r="K4" i="33"/>
  <c r="K35" i="33" s="1"/>
  <c r="L4" i="33"/>
  <c r="L27" i="33" s="1"/>
  <c r="M4" i="33"/>
  <c r="M29" i="33" s="1"/>
  <c r="N4" i="33"/>
  <c r="N23" i="33" s="1"/>
  <c r="O4" i="33"/>
  <c r="O21" i="33" s="1"/>
  <c r="P4" i="33"/>
  <c r="P9" i="33" s="1"/>
  <c r="Q4" i="33"/>
  <c r="Q17" i="33" s="1"/>
  <c r="P7" i="33"/>
  <c r="C4" i="32"/>
  <c r="C15" i="32" s="1"/>
  <c r="D4" i="32"/>
  <c r="D13" i="32" s="1"/>
  <c r="E4" i="32"/>
  <c r="F4" i="32"/>
  <c r="F7" i="32" s="1"/>
  <c r="G4" i="32"/>
  <c r="G9" i="32" s="1"/>
  <c r="H4" i="32"/>
  <c r="H11" i="32" s="1"/>
  <c r="I4" i="32"/>
  <c r="I11" i="32" s="1"/>
  <c r="J4" i="32"/>
  <c r="J7" i="32" s="1"/>
  <c r="K4" i="32"/>
  <c r="K11" i="32" s="1"/>
  <c r="L4" i="32"/>
  <c r="L7" i="32" s="1"/>
  <c r="M4" i="32"/>
  <c r="M13" i="32" s="1"/>
  <c r="N4" i="32"/>
  <c r="O4" i="32"/>
  <c r="O9" i="32" s="1"/>
  <c r="P4" i="32"/>
  <c r="P11" i="32" s="1"/>
  <c r="Q4" i="32"/>
  <c r="Q11" i="32" s="1"/>
  <c r="D7" i="32"/>
  <c r="D9" i="32"/>
  <c r="H9" i="32"/>
  <c r="M9" i="32"/>
  <c r="N9" i="32"/>
  <c r="E11" i="32"/>
  <c r="L11" i="32"/>
  <c r="M11" i="32"/>
  <c r="N11" i="32"/>
  <c r="O11" i="32"/>
  <c r="L13" i="32"/>
  <c r="H15" i="32"/>
  <c r="I15" i="32"/>
  <c r="C4" i="30"/>
  <c r="C9" i="30" s="1"/>
  <c r="D4" i="30"/>
  <c r="D7" i="30" s="1"/>
  <c r="E4" i="30"/>
  <c r="E9" i="30" s="1"/>
  <c r="F4" i="30"/>
  <c r="F11" i="30" s="1"/>
  <c r="G4" i="30"/>
  <c r="G13" i="30" s="1"/>
  <c r="I4" i="30"/>
  <c r="J4" i="30"/>
  <c r="J15" i="30" s="1"/>
  <c r="K4" i="30"/>
  <c r="K9" i="30" s="1"/>
  <c r="L4" i="30"/>
  <c r="L15" i="30" s="1"/>
  <c r="M4" i="30"/>
  <c r="M17" i="30" s="1"/>
  <c r="N4" i="30"/>
  <c r="N17" i="30" s="1"/>
  <c r="O4" i="30"/>
  <c r="O21" i="30" s="1"/>
  <c r="P4" i="30"/>
  <c r="P9" i="30" s="1"/>
  <c r="Q4" i="30"/>
  <c r="Q9" i="30" s="1"/>
  <c r="I7" i="30"/>
  <c r="K7" i="30"/>
  <c r="L7" i="30"/>
  <c r="M7" i="30"/>
  <c r="N7" i="30"/>
  <c r="Q7" i="30"/>
  <c r="I9" i="30"/>
  <c r="M9" i="30"/>
  <c r="E11" i="30"/>
  <c r="I11" i="30"/>
  <c r="P11" i="30"/>
  <c r="I13" i="30"/>
  <c r="C15" i="30"/>
  <c r="D15" i="30"/>
  <c r="I15" i="30"/>
  <c r="Q15" i="30"/>
  <c r="D17" i="30"/>
  <c r="I17" i="30"/>
  <c r="I19" i="30"/>
  <c r="L19" i="30"/>
  <c r="P19" i="30"/>
  <c r="Q19" i="30"/>
  <c r="D21" i="30"/>
  <c r="I21" i="30"/>
  <c r="M21" i="30"/>
  <c r="N21" i="30"/>
  <c r="D3" i="29"/>
  <c r="D8" i="29" s="1"/>
  <c r="E3" i="29"/>
  <c r="E8" i="29" s="1"/>
  <c r="F3" i="29"/>
  <c r="F8" i="29" s="1"/>
  <c r="G3" i="29"/>
  <c r="G8" i="29" s="1"/>
  <c r="H3" i="29"/>
  <c r="H6" i="29" s="1"/>
  <c r="D6" i="29"/>
  <c r="E10" i="29"/>
  <c r="D12" i="29"/>
  <c r="D10" i="29" s="1"/>
  <c r="E12" i="29"/>
  <c r="F12" i="29"/>
  <c r="G12" i="29"/>
  <c r="H12" i="29"/>
  <c r="D14" i="29"/>
  <c r="E14" i="29"/>
  <c r="F14" i="29"/>
  <c r="G14" i="29"/>
  <c r="H14" i="29"/>
  <c r="D18" i="29"/>
  <c r="E18" i="29"/>
  <c r="F18" i="29"/>
  <c r="G18" i="29"/>
  <c r="H18" i="29"/>
  <c r="H16" i="29" s="1"/>
  <c r="D20" i="29"/>
  <c r="E20" i="29"/>
  <c r="F20" i="29"/>
  <c r="G20" i="29"/>
  <c r="H20" i="29"/>
  <c r="Q9" i="37" l="1"/>
  <c r="Q15" i="37"/>
  <c r="Q13" i="37"/>
  <c r="P13" i="37"/>
  <c r="P15" i="37"/>
  <c r="O9" i="37"/>
  <c r="O13" i="37"/>
  <c r="O5" i="37" s="1"/>
  <c r="O15" i="37"/>
  <c r="O11" i="37"/>
  <c r="D15" i="32"/>
  <c r="F11" i="32"/>
  <c r="F9" i="32"/>
  <c r="D11" i="32"/>
  <c r="H7" i="32"/>
  <c r="K31" i="33"/>
  <c r="K9" i="33"/>
  <c r="G29" i="33"/>
  <c r="J17" i="33"/>
  <c r="F19" i="33"/>
  <c r="L25" i="33"/>
  <c r="P13" i="33"/>
  <c r="J25" i="33"/>
  <c r="L17" i="33"/>
  <c r="D9" i="33"/>
  <c r="J31" i="33"/>
  <c r="J21" i="33"/>
  <c r="E19" i="33"/>
  <c r="H29" i="33"/>
  <c r="K17" i="33"/>
  <c r="D19" i="33"/>
  <c r="P11" i="33"/>
  <c r="Q13" i="33"/>
  <c r="Q33" i="33"/>
  <c r="K7" i="33"/>
  <c r="P33" i="33"/>
  <c r="K25" i="33"/>
  <c r="H21" i="33"/>
  <c r="M9" i="33"/>
  <c r="J7" i="33"/>
  <c r="C15" i="33"/>
  <c r="G31" i="33"/>
  <c r="G23" i="33"/>
  <c r="O35" i="33"/>
  <c r="E23" i="33"/>
  <c r="G21" i="33"/>
  <c r="M7" i="33"/>
  <c r="L11" i="36"/>
  <c r="G15" i="37"/>
  <c r="P11" i="38"/>
  <c r="N5" i="38"/>
  <c r="O11" i="38"/>
  <c r="D19" i="30"/>
  <c r="J11" i="32"/>
  <c r="D31" i="33"/>
  <c r="C29" i="33"/>
  <c r="D25" i="33"/>
  <c r="D21" i="33"/>
  <c r="L15" i="33"/>
  <c r="K13" i="33"/>
  <c r="L11" i="33"/>
  <c r="C7" i="33"/>
  <c r="C11" i="37"/>
  <c r="F7" i="38"/>
  <c r="G19" i="30"/>
  <c r="O15" i="30"/>
  <c r="O13" i="30"/>
  <c r="N11" i="30"/>
  <c r="I5" i="30"/>
  <c r="J9" i="32"/>
  <c r="J5" i="32" s="1"/>
  <c r="N35" i="33"/>
  <c r="E29" i="33"/>
  <c r="N13" i="30"/>
  <c r="M35" i="33"/>
  <c r="E31" i="33"/>
  <c r="D29" i="33"/>
  <c r="E25" i="33"/>
  <c r="E21" i="33"/>
  <c r="M15" i="33"/>
  <c r="L13" i="33"/>
  <c r="L7" i="36"/>
  <c r="M13" i="30"/>
  <c r="G9" i="30"/>
  <c r="J13" i="32"/>
  <c r="D16" i="29"/>
  <c r="G10" i="29"/>
  <c r="K15" i="30"/>
  <c r="C7" i="30"/>
  <c r="C15" i="37"/>
  <c r="K7" i="37"/>
  <c r="O11" i="30"/>
  <c r="M15" i="30"/>
  <c r="M11" i="30"/>
  <c r="M5" i="30" s="1"/>
  <c r="O15" i="32"/>
  <c r="H13" i="32"/>
  <c r="H5" i="32" s="1"/>
  <c r="O7" i="32"/>
  <c r="M33" i="33"/>
  <c r="J29" i="33"/>
  <c r="J27" i="33"/>
  <c r="J23" i="33"/>
  <c r="E17" i="33"/>
  <c r="K19" i="33"/>
  <c r="J15" i="33"/>
  <c r="D13" i="33"/>
  <c r="J11" i="33"/>
  <c r="N11" i="34"/>
  <c r="E15" i="36"/>
  <c r="N9" i="36"/>
  <c r="N15" i="37"/>
  <c r="K13" i="37"/>
  <c r="K5" i="37" s="1"/>
  <c r="J9" i="37"/>
  <c r="J7" i="37"/>
  <c r="D7" i="38"/>
  <c r="E19" i="30"/>
  <c r="I13" i="32"/>
  <c r="K29" i="33"/>
  <c r="N27" i="33"/>
  <c r="K23" i="33"/>
  <c r="F17" i="33"/>
  <c r="K15" i="33"/>
  <c r="E13" i="33"/>
  <c r="K11" i="33"/>
  <c r="O11" i="34"/>
  <c r="Q7" i="34"/>
  <c r="K15" i="36"/>
  <c r="D11" i="36"/>
  <c r="J7" i="36"/>
  <c r="F16" i="29"/>
  <c r="F10" i="29"/>
  <c r="O19" i="30"/>
  <c r="C13" i="30"/>
  <c r="G11" i="30"/>
  <c r="E16" i="29"/>
  <c r="M19" i="30"/>
  <c r="G17" i="30"/>
  <c r="E15" i="30"/>
  <c r="Q11" i="30"/>
  <c r="J15" i="32"/>
  <c r="F13" i="32"/>
  <c r="K33" i="33"/>
  <c r="D27" i="33"/>
  <c r="H23" i="33"/>
  <c r="K21" i="33"/>
  <c r="D15" i="33"/>
  <c r="N9" i="33"/>
  <c r="D11" i="33"/>
  <c r="M11" i="34"/>
  <c r="M7" i="34"/>
  <c r="M5" i="34" s="1"/>
  <c r="N21" i="36"/>
  <c r="M9" i="36"/>
  <c r="M15" i="37"/>
  <c r="J13" i="37"/>
  <c r="J5" i="37" s="1"/>
  <c r="K11" i="37"/>
  <c r="F9" i="37"/>
  <c r="F5" i="37" s="1"/>
  <c r="D11" i="38"/>
  <c r="D4" i="29"/>
  <c r="J17" i="30"/>
  <c r="I9" i="32"/>
  <c r="I7" i="32"/>
  <c r="O27" i="33"/>
  <c r="P19" i="33"/>
  <c r="Q11" i="33"/>
  <c r="Q7" i="33"/>
  <c r="J9" i="33"/>
  <c r="J13" i="33"/>
  <c r="Q11" i="34"/>
  <c r="Q5" i="34" s="1"/>
  <c r="C9" i="34"/>
  <c r="F5" i="34"/>
  <c r="G17" i="36"/>
  <c r="Q13" i="36"/>
  <c r="Q15" i="36"/>
  <c r="P7" i="38"/>
  <c r="L9" i="38"/>
  <c r="L7" i="38"/>
  <c r="L11" i="38"/>
  <c r="Q11" i="37"/>
  <c r="I9" i="37"/>
  <c r="I15" i="37"/>
  <c r="I11" i="37"/>
  <c r="P11" i="37"/>
  <c r="P7" i="37"/>
  <c r="P9" i="37"/>
  <c r="H9" i="37"/>
  <c r="H11" i="37"/>
  <c r="H7" i="37"/>
  <c r="H15" i="37"/>
  <c r="O5" i="38"/>
  <c r="D11" i="34"/>
  <c r="D5" i="34" s="1"/>
  <c r="J9" i="34"/>
  <c r="J11" i="34"/>
  <c r="G19" i="36"/>
  <c r="G15" i="36"/>
  <c r="N5" i="34"/>
  <c r="C19" i="30"/>
  <c r="I7" i="37"/>
  <c r="J33" i="33"/>
  <c r="G9" i="33"/>
  <c r="L11" i="34"/>
  <c r="P9" i="34"/>
  <c r="P5" i="34" s="1"/>
  <c r="P7" i="34"/>
  <c r="H21" i="36"/>
  <c r="G9" i="36"/>
  <c r="D9" i="36"/>
  <c r="D7" i="36"/>
  <c r="I5" i="38"/>
  <c r="J9" i="30"/>
  <c r="J7" i="30"/>
  <c r="C7" i="32"/>
  <c r="C9" i="32"/>
  <c r="I13" i="33"/>
  <c r="I21" i="33"/>
  <c r="P9" i="36"/>
  <c r="P15" i="36"/>
  <c r="H15" i="36"/>
  <c r="H11" i="36"/>
  <c r="H13" i="36"/>
  <c r="J21" i="30"/>
  <c r="D5" i="32"/>
  <c r="P23" i="33"/>
  <c r="P35" i="33"/>
  <c r="D7" i="34"/>
  <c r="K9" i="34"/>
  <c r="K11" i="34"/>
  <c r="K5" i="34" s="1"/>
  <c r="N15" i="36"/>
  <c r="N7" i="36"/>
  <c r="P9" i="32"/>
  <c r="P7" i="32"/>
  <c r="G27" i="33"/>
  <c r="Q23" i="33"/>
  <c r="P21" i="33"/>
  <c r="I15" i="33"/>
  <c r="H9" i="33"/>
  <c r="N7" i="33"/>
  <c r="N15" i="33"/>
  <c r="F27" i="33"/>
  <c r="F15" i="33"/>
  <c r="L7" i="34"/>
  <c r="M7" i="36"/>
  <c r="M5" i="36" s="1"/>
  <c r="M13" i="36"/>
  <c r="M5" i="38"/>
  <c r="P21" i="30"/>
  <c r="O9" i="30"/>
  <c r="C13" i="32"/>
  <c r="N13" i="32"/>
  <c r="N15" i="32"/>
  <c r="G21" i="36"/>
  <c r="M17" i="36"/>
  <c r="N13" i="36"/>
  <c r="G11" i="36"/>
  <c r="F9" i="36"/>
  <c r="G7" i="36"/>
  <c r="G5" i="36" s="1"/>
  <c r="Q29" i="33"/>
  <c r="Q25" i="33"/>
  <c r="C11" i="32"/>
  <c r="H27" i="33"/>
  <c r="Q21" i="33"/>
  <c r="O25" i="33"/>
  <c r="O7" i="33"/>
  <c r="O15" i="33"/>
  <c r="C7" i="34"/>
  <c r="H9" i="36"/>
  <c r="E13" i="36"/>
  <c r="E7" i="36"/>
  <c r="P5" i="38"/>
  <c r="G16" i="29"/>
  <c r="G21" i="30"/>
  <c r="K19" i="30"/>
  <c r="O17" i="30"/>
  <c r="C17" i="30"/>
  <c r="C11" i="30"/>
  <c r="C5" i="30" s="1"/>
  <c r="P7" i="30"/>
  <c r="G7" i="30"/>
  <c r="N15" i="30"/>
  <c r="N19" i="30"/>
  <c r="F21" i="30"/>
  <c r="F15" i="30"/>
  <c r="F19" i="30"/>
  <c r="J35" i="33"/>
  <c r="P17" i="33"/>
  <c r="H15" i="33"/>
  <c r="F11" i="33"/>
  <c r="I7" i="33"/>
  <c r="E27" i="33"/>
  <c r="E7" i="33"/>
  <c r="H8" i="29"/>
  <c r="H4" i="29" s="1"/>
  <c r="J19" i="30"/>
  <c r="K11" i="30"/>
  <c r="O7" i="30"/>
  <c r="F7" i="30"/>
  <c r="P13" i="32"/>
  <c r="N7" i="32"/>
  <c r="H35" i="33"/>
  <c r="G33" i="33"/>
  <c r="P29" i="33"/>
  <c r="P25" i="33"/>
  <c r="M23" i="33"/>
  <c r="N21" i="33"/>
  <c r="Q15" i="33"/>
  <c r="E9" i="33"/>
  <c r="E11" i="33"/>
  <c r="I11" i="34"/>
  <c r="H9" i="34"/>
  <c r="J7" i="34"/>
  <c r="J5" i="34" s="1"/>
  <c r="Q7" i="37"/>
  <c r="L9" i="37"/>
  <c r="L13" i="37"/>
  <c r="H11" i="38"/>
  <c r="H7" i="38"/>
  <c r="H5" i="38" s="1"/>
  <c r="C21" i="30"/>
  <c r="P15" i="30"/>
  <c r="G15" i="30"/>
  <c r="G5" i="30" s="1"/>
  <c r="J11" i="30"/>
  <c r="N9" i="30"/>
  <c r="E7" i="30"/>
  <c r="L9" i="30"/>
  <c r="L11" i="30"/>
  <c r="D9" i="30"/>
  <c r="D11" i="30"/>
  <c r="D5" i="30" s="1"/>
  <c r="P15" i="32"/>
  <c r="O13" i="32"/>
  <c r="O5" i="32" s="1"/>
  <c r="G11" i="32"/>
  <c r="G35" i="33"/>
  <c r="E33" i="33"/>
  <c r="P27" i="33"/>
  <c r="M21" i="33"/>
  <c r="Q19" i="33"/>
  <c r="P15" i="33"/>
  <c r="Q9" i="33"/>
  <c r="G7" i="33"/>
  <c r="H11" i="34"/>
  <c r="G5" i="34"/>
  <c r="I7" i="34"/>
  <c r="Q19" i="36"/>
  <c r="H17" i="36"/>
  <c r="F11" i="36"/>
  <c r="D15" i="37"/>
  <c r="D5" i="37" s="1"/>
  <c r="D11" i="37"/>
  <c r="G11" i="38"/>
  <c r="G7" i="38"/>
  <c r="G5" i="38" s="1"/>
  <c r="C5" i="38"/>
  <c r="Q5" i="38"/>
  <c r="E5" i="38"/>
  <c r="D5" i="38"/>
  <c r="F11" i="38"/>
  <c r="F5" i="38" s="1"/>
  <c r="K5" i="38"/>
  <c r="H10" i="29"/>
  <c r="D35" i="33"/>
  <c r="D33" i="33"/>
  <c r="D23" i="33"/>
  <c r="D17" i="33"/>
  <c r="O9" i="34"/>
  <c r="O5" i="34" s="1"/>
  <c r="I9" i="36"/>
  <c r="O7" i="37"/>
  <c r="G7" i="37"/>
  <c r="E11" i="38"/>
  <c r="K7" i="38"/>
  <c r="J5" i="38"/>
  <c r="I5" i="34"/>
  <c r="G6" i="29"/>
  <c r="G4" i="29" s="1"/>
  <c r="Q9" i="32"/>
  <c r="Q13" i="32"/>
  <c r="K9" i="32"/>
  <c r="K13" i="32"/>
  <c r="C31" i="33"/>
  <c r="C33" i="33"/>
  <c r="L21" i="30"/>
  <c r="L17" i="30"/>
  <c r="L5" i="30" s="1"/>
  <c r="F17" i="30"/>
  <c r="L13" i="30"/>
  <c r="F13" i="30"/>
  <c r="F9" i="30"/>
  <c r="M15" i="32"/>
  <c r="M5" i="32" s="1"/>
  <c r="G15" i="32"/>
  <c r="L9" i="32"/>
  <c r="M7" i="32"/>
  <c r="G7" i="32"/>
  <c r="L35" i="33"/>
  <c r="L33" i="33"/>
  <c r="F31" i="33"/>
  <c r="L29" i="33"/>
  <c r="F29" i="33"/>
  <c r="C27" i="33"/>
  <c r="I25" i="33"/>
  <c r="C17" i="33"/>
  <c r="L21" i="33"/>
  <c r="F21" i="33"/>
  <c r="O19" i="33"/>
  <c r="C11" i="33"/>
  <c r="L7" i="33"/>
  <c r="F7" i="33"/>
  <c r="N33" i="33"/>
  <c r="N11" i="33"/>
  <c r="N13" i="33"/>
  <c r="N19" i="33"/>
  <c r="N17" i="33"/>
  <c r="H31" i="33"/>
  <c r="H33" i="33"/>
  <c r="H11" i="33"/>
  <c r="H13" i="33"/>
  <c r="H19" i="33"/>
  <c r="H17" i="33"/>
  <c r="H25" i="33"/>
  <c r="E5" i="34"/>
  <c r="P19" i="36"/>
  <c r="D19" i="36"/>
  <c r="J15" i="36"/>
  <c r="O11" i="36"/>
  <c r="I11" i="36"/>
  <c r="C11" i="36"/>
  <c r="O7" i="36"/>
  <c r="E9" i="32"/>
  <c r="E13" i="32"/>
  <c r="I31" i="33"/>
  <c r="I33" i="33"/>
  <c r="F6" i="29"/>
  <c r="F4" i="29" s="1"/>
  <c r="E6" i="29"/>
  <c r="E4" i="29" s="1"/>
  <c r="Q21" i="30"/>
  <c r="K21" i="30"/>
  <c r="E21" i="30"/>
  <c r="Q17" i="30"/>
  <c r="K17" i="30"/>
  <c r="E17" i="30"/>
  <c r="Q13" i="30"/>
  <c r="K13" i="30"/>
  <c r="E13" i="30"/>
  <c r="L15" i="32"/>
  <c r="F15" i="32"/>
  <c r="G13" i="32"/>
  <c r="C35" i="33"/>
  <c r="F25" i="33"/>
  <c r="O23" i="33"/>
  <c r="I23" i="33"/>
  <c r="C23" i="33"/>
  <c r="L19" i="33"/>
  <c r="F13" i="33"/>
  <c r="O9" i="33"/>
  <c r="I9" i="33"/>
  <c r="C9" i="33"/>
  <c r="M11" i="33"/>
  <c r="M13" i="33"/>
  <c r="M19" i="33"/>
  <c r="M17" i="33"/>
  <c r="M25" i="33"/>
  <c r="M27" i="33"/>
  <c r="G11" i="33"/>
  <c r="G13" i="33"/>
  <c r="G19" i="33"/>
  <c r="G17" i="33"/>
  <c r="G25" i="33"/>
  <c r="J21" i="36"/>
  <c r="P17" i="36"/>
  <c r="D17" i="36"/>
  <c r="J13" i="36"/>
  <c r="L15" i="36"/>
  <c r="L19" i="36"/>
  <c r="L13" i="36"/>
  <c r="L17" i="36"/>
  <c r="L21" i="36"/>
  <c r="F15" i="36"/>
  <c r="F19" i="36"/>
  <c r="F13" i="36"/>
  <c r="F17" i="36"/>
  <c r="F21" i="36"/>
  <c r="P17" i="30"/>
  <c r="P13" i="30"/>
  <c r="J13" i="30"/>
  <c r="D13" i="30"/>
  <c r="Q15" i="32"/>
  <c r="K15" i="32"/>
  <c r="E15" i="32"/>
  <c r="Q7" i="32"/>
  <c r="K7" i="32"/>
  <c r="E7" i="32"/>
  <c r="I35" i="33"/>
  <c r="I27" i="33"/>
  <c r="I17" i="33"/>
  <c r="C19" i="33"/>
  <c r="O13" i="33"/>
  <c r="I11" i="33"/>
  <c r="O33" i="33"/>
  <c r="F33" i="33"/>
  <c r="O29" i="33"/>
  <c r="C25" i="33"/>
  <c r="L23" i="33"/>
  <c r="F23" i="33"/>
  <c r="O17" i="33"/>
  <c r="I19" i="33"/>
  <c r="C13" i="33"/>
  <c r="L9" i="33"/>
  <c r="F9" i="33"/>
  <c r="O11" i="33"/>
  <c r="P21" i="36"/>
  <c r="D21" i="36"/>
  <c r="J17" i="36"/>
  <c r="P13" i="36"/>
  <c r="D13" i="36"/>
  <c r="O13" i="36"/>
  <c r="O17" i="36"/>
  <c r="O21" i="36"/>
  <c r="O15" i="36"/>
  <c r="O19" i="36"/>
  <c r="I13" i="36"/>
  <c r="I17" i="36"/>
  <c r="I21" i="36"/>
  <c r="I15" i="36"/>
  <c r="I19" i="36"/>
  <c r="C13" i="36"/>
  <c r="C17" i="36"/>
  <c r="C21" i="36"/>
  <c r="C15" i="36"/>
  <c r="C19" i="36"/>
  <c r="Q9" i="36"/>
  <c r="K9" i="36"/>
  <c r="E9" i="36"/>
  <c r="N13" i="37"/>
  <c r="N5" i="37" s="1"/>
  <c r="H13" i="37"/>
  <c r="H5" i="37" s="1"/>
  <c r="Q35" i="33"/>
  <c r="E35" i="33"/>
  <c r="Q21" i="36"/>
  <c r="K21" i="36"/>
  <c r="E21" i="36"/>
  <c r="N19" i="36"/>
  <c r="H19" i="36"/>
  <c r="Q17" i="36"/>
  <c r="K17" i="36"/>
  <c r="E17" i="36"/>
  <c r="M13" i="37"/>
  <c r="M5" i="37" s="1"/>
  <c r="G13" i="37"/>
  <c r="I13" i="37"/>
  <c r="I5" i="37" s="1"/>
  <c r="C13" i="37"/>
  <c r="C5" i="37" s="1"/>
  <c r="C6" i="5"/>
  <c r="B6" i="5" s="1"/>
  <c r="D6" i="5"/>
  <c r="H6" i="5"/>
  <c r="K6" i="5"/>
  <c r="M6" i="5"/>
  <c r="P6" i="5" s="1"/>
  <c r="I5" i="32" l="1"/>
  <c r="F5" i="32"/>
  <c r="K5" i="33"/>
  <c r="L5" i="36"/>
  <c r="N5" i="32"/>
  <c r="J5" i="36"/>
  <c r="G5" i="32"/>
  <c r="Q5" i="36"/>
  <c r="D5" i="36"/>
  <c r="O5" i="30"/>
  <c r="F5" i="36"/>
  <c r="F5" i="30"/>
  <c r="D5" i="33"/>
  <c r="E5" i="33"/>
  <c r="C5" i="36"/>
  <c r="P5" i="36"/>
  <c r="P5" i="33"/>
  <c r="Q5" i="33"/>
  <c r="J5" i="30"/>
  <c r="H5" i="36"/>
  <c r="P5" i="30"/>
  <c r="M5" i="33"/>
  <c r="N5" i="36"/>
  <c r="K5" i="30"/>
  <c r="I5" i="36"/>
  <c r="E5" i="32"/>
  <c r="N5" i="33"/>
  <c r="H5" i="33"/>
  <c r="L5" i="32"/>
  <c r="C5" i="34"/>
  <c r="Q5" i="37"/>
  <c r="P5" i="32"/>
  <c r="E5" i="36"/>
  <c r="I5" i="33"/>
  <c r="K5" i="32"/>
  <c r="G5" i="33"/>
  <c r="Q5" i="30"/>
  <c r="C5" i="33"/>
  <c r="H5" i="34"/>
  <c r="G5" i="37"/>
  <c r="K5" i="36"/>
  <c r="Q5" i="32"/>
  <c r="E5" i="30"/>
  <c r="J5" i="33"/>
  <c r="L5" i="37"/>
  <c r="P5" i="37"/>
  <c r="N5" i="30"/>
  <c r="L5" i="34"/>
  <c r="C5" i="32"/>
  <c r="L5" i="38"/>
  <c r="L5" i="33"/>
  <c r="O5" i="36"/>
  <c r="F5" i="33"/>
  <c r="L6" i="5"/>
  <c r="E6" i="5"/>
  <c r="I6" i="5"/>
  <c r="F6" i="5" l="1"/>
  <c r="K6" i="28" l="1"/>
  <c r="K8" i="28"/>
  <c r="K7" i="28"/>
  <c r="K9" i="28"/>
  <c r="K10" i="28"/>
  <c r="K11" i="28"/>
  <c r="K5" i="28"/>
  <c r="H14" i="28"/>
  <c r="I21" i="28" s="1"/>
  <c r="F21" i="28"/>
  <c r="F20" i="28"/>
  <c r="F19" i="28"/>
  <c r="F17" i="28"/>
  <c r="F18" i="28"/>
  <c r="F16" i="28"/>
  <c r="F15" i="28"/>
  <c r="E21" i="28"/>
  <c r="E20" i="28"/>
  <c r="E19" i="28"/>
  <c r="E17" i="28"/>
  <c r="E18" i="28"/>
  <c r="E16" i="28"/>
  <c r="E15" i="28"/>
  <c r="C21" i="28"/>
  <c r="C20" i="28"/>
  <c r="C19" i="28"/>
  <c r="C17" i="28"/>
  <c r="C18" i="28"/>
  <c r="C16" i="28"/>
  <c r="C15" i="28"/>
  <c r="I11" i="28"/>
  <c r="I10" i="28"/>
  <c r="I9" i="28"/>
  <c r="I7" i="28"/>
  <c r="I8" i="28"/>
  <c r="I6" i="28"/>
  <c r="I5" i="28"/>
  <c r="G11" i="28"/>
  <c r="G10" i="28"/>
  <c r="G9" i="28"/>
  <c r="G7" i="28"/>
  <c r="G8" i="28"/>
  <c r="G6" i="28"/>
  <c r="G5" i="28"/>
  <c r="E11" i="28"/>
  <c r="E10" i="28"/>
  <c r="E9" i="28"/>
  <c r="E7" i="28"/>
  <c r="E8" i="28"/>
  <c r="E6" i="28"/>
  <c r="E5" i="28"/>
  <c r="C11" i="28"/>
  <c r="C10" i="28"/>
  <c r="C9" i="28"/>
  <c r="C7" i="28"/>
  <c r="C8" i="28"/>
  <c r="C6" i="28"/>
  <c r="C5" i="28"/>
  <c r="J14" i="28"/>
  <c r="K21" i="28" s="1"/>
  <c r="J12" i="27"/>
  <c r="K13" i="27" s="1"/>
  <c r="G4" i="28" l="1"/>
  <c r="E4" i="28"/>
  <c r="K16" i="27"/>
  <c r="K14" i="27"/>
  <c r="K17" i="27"/>
  <c r="K15" i="27"/>
  <c r="K12" i="27" s="1"/>
  <c r="I4" i="28"/>
  <c r="E14" i="28"/>
  <c r="I15" i="28"/>
  <c r="C14" i="28"/>
  <c r="I16" i="28"/>
  <c r="C4" i="28"/>
  <c r="I18" i="28"/>
  <c r="I17" i="28"/>
  <c r="F14" i="28"/>
  <c r="G21" i="28" s="1"/>
  <c r="K15" i="28"/>
  <c r="K20" i="28"/>
  <c r="K16" i="28"/>
  <c r="K19" i="28"/>
  <c r="I19" i="28"/>
  <c r="I20" i="28"/>
  <c r="K17" i="28"/>
  <c r="K18" i="28"/>
  <c r="G20" i="28" l="1"/>
  <c r="G16" i="28"/>
  <c r="G19" i="28"/>
  <c r="G17" i="28"/>
  <c r="G15" i="28"/>
  <c r="G18" i="28"/>
  <c r="K14" i="28"/>
  <c r="K4" i="28"/>
  <c r="I14" i="28"/>
  <c r="G14" i="28" l="1"/>
  <c r="E17" i="27"/>
  <c r="C17" i="27"/>
  <c r="K9" i="27"/>
  <c r="H16" i="27"/>
  <c r="F16" i="27"/>
  <c r="E16" i="27"/>
  <c r="C16" i="27"/>
  <c r="K8" i="27"/>
  <c r="H15" i="27"/>
  <c r="F15" i="27"/>
  <c r="E15" i="27"/>
  <c r="C15" i="27"/>
  <c r="K7" i="27"/>
  <c r="H14" i="27"/>
  <c r="F14" i="27"/>
  <c r="E14" i="27"/>
  <c r="C14" i="27"/>
  <c r="K6" i="27"/>
  <c r="H13" i="27"/>
  <c r="F13" i="27"/>
  <c r="E13" i="27"/>
  <c r="C13" i="27"/>
  <c r="K5" i="27"/>
  <c r="I9" i="27"/>
  <c r="G9" i="27"/>
  <c r="E9" i="27"/>
  <c r="C9" i="27"/>
  <c r="I8" i="27"/>
  <c r="G8" i="27"/>
  <c r="E8" i="27"/>
  <c r="C8" i="27"/>
  <c r="I7" i="27"/>
  <c r="G7" i="27"/>
  <c r="E7" i="27"/>
  <c r="C7" i="27"/>
  <c r="I6" i="27"/>
  <c r="G6" i="27"/>
  <c r="G4" i="27" s="1"/>
  <c r="E6" i="27"/>
  <c r="C6" i="27"/>
  <c r="I5" i="27"/>
  <c r="G5" i="27"/>
  <c r="E5" i="27"/>
  <c r="C5" i="27"/>
  <c r="J15" i="16"/>
  <c r="K18" i="16" s="1"/>
  <c r="F21" i="16"/>
  <c r="F16" i="16"/>
  <c r="H15" i="16"/>
  <c r="I19" i="16" s="1"/>
  <c r="D15" i="16"/>
  <c r="E17" i="16" s="1"/>
  <c r="B15" i="16"/>
  <c r="C20" i="16" s="1"/>
  <c r="J4" i="16"/>
  <c r="H4" i="16"/>
  <c r="I11" i="16" s="1"/>
  <c r="F4" i="16"/>
  <c r="G5" i="16" s="1"/>
  <c r="D4" i="16"/>
  <c r="E12" i="16" s="1"/>
  <c r="B4" i="16"/>
  <c r="C7" i="16" s="1"/>
  <c r="B10" i="18"/>
  <c r="B9" i="18"/>
  <c r="B11" i="18"/>
  <c r="B13" i="18"/>
  <c r="B12" i="18"/>
  <c r="B18" i="18"/>
  <c r="B15" i="18"/>
  <c r="B14" i="18"/>
  <c r="B16" i="18"/>
  <c r="B17" i="18"/>
  <c r="B19" i="18"/>
  <c r="B8" i="18"/>
  <c r="J4" i="18"/>
  <c r="K14" i="18" s="1"/>
  <c r="H4" i="18"/>
  <c r="F4" i="18"/>
  <c r="G9" i="18" s="1"/>
  <c r="D4" i="18"/>
  <c r="E15" i="18" s="1"/>
  <c r="R15" i="15"/>
  <c r="R16" i="15"/>
  <c r="R17" i="15"/>
  <c r="R19" i="15"/>
  <c r="R18" i="15"/>
  <c r="R14" i="15"/>
  <c r="U16" i="15" s="1"/>
  <c r="N18" i="15"/>
  <c r="J18" i="15"/>
  <c r="F18" i="15"/>
  <c r="B18" i="15"/>
  <c r="R9" i="15"/>
  <c r="N19" i="15"/>
  <c r="J19" i="15"/>
  <c r="F19" i="15"/>
  <c r="B19" i="15"/>
  <c r="R10" i="15"/>
  <c r="N17" i="15"/>
  <c r="J17" i="15"/>
  <c r="F17" i="15"/>
  <c r="B17" i="15"/>
  <c r="R8" i="15"/>
  <c r="N16" i="15"/>
  <c r="J16" i="15"/>
  <c r="F16" i="15"/>
  <c r="B16" i="15"/>
  <c r="R7" i="15"/>
  <c r="N15" i="15"/>
  <c r="J15" i="15"/>
  <c r="F15" i="15"/>
  <c r="B15" i="15"/>
  <c r="R6" i="15"/>
  <c r="P14" i="15"/>
  <c r="O14" i="15"/>
  <c r="L14" i="15"/>
  <c r="K14" i="15"/>
  <c r="F14" i="15"/>
  <c r="B14" i="15"/>
  <c r="R5" i="15"/>
  <c r="Q9" i="15"/>
  <c r="M9" i="15"/>
  <c r="I9" i="15"/>
  <c r="E9" i="15"/>
  <c r="Q10" i="15"/>
  <c r="M10" i="15"/>
  <c r="I10" i="15"/>
  <c r="E10" i="15"/>
  <c r="Q8" i="15"/>
  <c r="M8" i="15"/>
  <c r="I8" i="15"/>
  <c r="E8" i="15"/>
  <c r="Q7" i="15"/>
  <c r="M7" i="15"/>
  <c r="I7" i="15"/>
  <c r="E7" i="15"/>
  <c r="Q6" i="15"/>
  <c r="M6" i="15"/>
  <c r="I6" i="15"/>
  <c r="E6" i="15"/>
  <c r="E15" i="14"/>
  <c r="C13" i="14"/>
  <c r="C14" i="14"/>
  <c r="F15" i="14"/>
  <c r="F14" i="14"/>
  <c r="F13" i="14"/>
  <c r="F12" i="14"/>
  <c r="J11" i="14"/>
  <c r="K13" i="14" s="1"/>
  <c r="H11" i="14"/>
  <c r="I14" i="14" s="1"/>
  <c r="D11" i="14"/>
  <c r="E14" i="14" s="1"/>
  <c r="B11" i="14"/>
  <c r="C12" i="14" s="1"/>
  <c r="J4" i="14"/>
  <c r="H4" i="14"/>
  <c r="I6" i="14" s="1"/>
  <c r="F4" i="14"/>
  <c r="G7" i="14" s="1"/>
  <c r="D4" i="14"/>
  <c r="E8" i="14" s="1"/>
  <c r="B4" i="14"/>
  <c r="C7" i="14" s="1"/>
  <c r="V4" i="13"/>
  <c r="W32" i="13" s="1"/>
  <c r="T4" i="13"/>
  <c r="U24" i="13" s="1"/>
  <c r="R4" i="13"/>
  <c r="P4" i="13"/>
  <c r="Q18" i="13" s="1"/>
  <c r="N4" i="13"/>
  <c r="O31" i="13" s="1"/>
  <c r="L4" i="13"/>
  <c r="M13" i="13" s="1"/>
  <c r="J4" i="13"/>
  <c r="K7" i="13" s="1"/>
  <c r="H4" i="13"/>
  <c r="I9" i="13" s="1"/>
  <c r="F4" i="13"/>
  <c r="G32" i="13" s="1"/>
  <c r="D4" i="13"/>
  <c r="B4" i="13"/>
  <c r="J14" i="12"/>
  <c r="K17" i="12" s="1"/>
  <c r="H14" i="12"/>
  <c r="I16" i="12" s="1"/>
  <c r="F14" i="12"/>
  <c r="G20" i="12" s="1"/>
  <c r="D14" i="12"/>
  <c r="E15" i="12" s="1"/>
  <c r="B14" i="12"/>
  <c r="C16" i="12" s="1"/>
  <c r="J4" i="12"/>
  <c r="H4" i="12"/>
  <c r="I9" i="12" s="1"/>
  <c r="F4" i="12"/>
  <c r="G7" i="12" s="1"/>
  <c r="D4" i="12"/>
  <c r="E5" i="12" s="1"/>
  <c r="B4" i="12"/>
  <c r="C5" i="12" s="1"/>
  <c r="G14" i="11"/>
  <c r="G16" i="11"/>
  <c r="G17" i="11"/>
  <c r="G13" i="11"/>
  <c r="K5" i="11"/>
  <c r="I6" i="11"/>
  <c r="E8" i="11"/>
  <c r="E5" i="11"/>
  <c r="C6" i="11"/>
  <c r="C7" i="11"/>
  <c r="C8" i="11"/>
  <c r="J12" i="11"/>
  <c r="K13" i="11" s="1"/>
  <c r="H12" i="11"/>
  <c r="I14" i="11" s="1"/>
  <c r="F12" i="11"/>
  <c r="G15" i="11" s="1"/>
  <c r="D12" i="11"/>
  <c r="E16" i="11" s="1"/>
  <c r="B12" i="11"/>
  <c r="C13" i="11" s="1"/>
  <c r="J4" i="11"/>
  <c r="K8" i="11" s="1"/>
  <c r="H4" i="11"/>
  <c r="I9" i="11" s="1"/>
  <c r="F4" i="11"/>
  <c r="G6" i="11" s="1"/>
  <c r="D4" i="11"/>
  <c r="E7" i="11" s="1"/>
  <c r="B4" i="11"/>
  <c r="E20" i="10"/>
  <c r="E10" i="10"/>
  <c r="J14" i="10"/>
  <c r="K21" i="10" s="1"/>
  <c r="H14" i="10"/>
  <c r="I21" i="10" s="1"/>
  <c r="F14" i="10"/>
  <c r="G20" i="10" s="1"/>
  <c r="D14" i="10"/>
  <c r="E15" i="10" s="1"/>
  <c r="B14" i="10"/>
  <c r="C20" i="10" s="1"/>
  <c r="J4" i="10"/>
  <c r="H4" i="10"/>
  <c r="I11" i="10" s="1"/>
  <c r="F4" i="10"/>
  <c r="G11" i="10" s="1"/>
  <c r="D4" i="10"/>
  <c r="B4" i="10"/>
  <c r="C11" i="10" s="1"/>
  <c r="D16" i="5"/>
  <c r="C16" i="5"/>
  <c r="B16" i="5"/>
  <c r="L16" i="5" s="1"/>
  <c r="I15" i="5"/>
  <c r="F15" i="5" s="1"/>
  <c r="M14" i="5"/>
  <c r="D14" i="5"/>
  <c r="C14" i="5"/>
  <c r="B14" i="5" s="1"/>
  <c r="M13" i="5"/>
  <c r="D13" i="5"/>
  <c r="C13" i="5"/>
  <c r="M12" i="5"/>
  <c r="D12" i="5"/>
  <c r="C12" i="5"/>
  <c r="M11" i="5"/>
  <c r="D11" i="5"/>
  <c r="C11" i="5"/>
  <c r="M10" i="5"/>
  <c r="D10" i="5"/>
  <c r="C10" i="5"/>
  <c r="M9" i="5"/>
  <c r="D9" i="5"/>
  <c r="C9" i="5"/>
  <c r="M8" i="5"/>
  <c r="D8" i="5"/>
  <c r="C8" i="5"/>
  <c r="M7" i="5"/>
  <c r="D7" i="5"/>
  <c r="C7" i="5"/>
  <c r="P72" i="4"/>
  <c r="N72" i="4"/>
  <c r="P51" i="4"/>
  <c r="H51" i="4"/>
  <c r="R45" i="4"/>
  <c r="P45" i="4"/>
  <c r="N45" i="4"/>
  <c r="F45" i="4"/>
  <c r="D45" i="4"/>
  <c r="B45" i="4"/>
  <c r="N67" i="4"/>
  <c r="V21" i="4"/>
  <c r="R21" i="4"/>
  <c r="P21" i="4"/>
  <c r="N21" i="4"/>
  <c r="H21" i="4"/>
  <c r="F21" i="4"/>
  <c r="D21" i="4"/>
  <c r="R40" i="4"/>
  <c r="R64" i="4"/>
  <c r="P64" i="4"/>
  <c r="J64" i="4"/>
  <c r="F64" i="4"/>
  <c r="B64" i="4"/>
  <c r="V31" i="4"/>
  <c r="R31" i="4"/>
  <c r="P31" i="4"/>
  <c r="N31" i="4"/>
  <c r="L31" i="4"/>
  <c r="J31" i="4"/>
  <c r="H31" i="4"/>
  <c r="F31" i="4"/>
  <c r="D31" i="4"/>
  <c r="V38" i="4"/>
  <c r="R38" i="4"/>
  <c r="V18" i="4"/>
  <c r="R18" i="4"/>
  <c r="P18" i="4"/>
  <c r="N18" i="4"/>
  <c r="V28" i="4"/>
  <c r="R28" i="4"/>
  <c r="P28" i="4"/>
  <c r="N28" i="4"/>
  <c r="H28" i="4"/>
  <c r="R60" i="4"/>
  <c r="P60" i="4"/>
  <c r="L60" i="4"/>
  <c r="L59" i="4"/>
  <c r="L58" i="4"/>
  <c r="J58" i="4"/>
  <c r="R57" i="4"/>
  <c r="P57" i="4"/>
  <c r="F57" i="4"/>
  <c r="D57" i="4"/>
  <c r="R54" i="4"/>
  <c r="P54" i="4"/>
  <c r="N54" i="4"/>
  <c r="J48" i="4"/>
  <c r="R44" i="4"/>
  <c r="R53" i="4"/>
  <c r="P53" i="4"/>
  <c r="L53" i="4"/>
  <c r="J53" i="4"/>
  <c r="H53" i="4"/>
  <c r="F53" i="4"/>
  <c r="D53" i="4"/>
  <c r="B53" i="4"/>
  <c r="V37" i="4"/>
  <c r="R37" i="4"/>
  <c r="P37" i="4"/>
  <c r="N37" i="4"/>
  <c r="L37" i="4"/>
  <c r="J37" i="4"/>
  <c r="H37" i="4"/>
  <c r="F37" i="4"/>
  <c r="D37" i="4"/>
  <c r="B37" i="4"/>
  <c r="R39" i="4"/>
  <c r="P39" i="4"/>
  <c r="N39" i="4"/>
  <c r="L39" i="4"/>
  <c r="H39" i="4"/>
  <c r="F39" i="4"/>
  <c r="B39" i="4"/>
  <c r="R47" i="4"/>
  <c r="P47" i="4"/>
  <c r="L47" i="4"/>
  <c r="J47" i="4"/>
  <c r="H47" i="4"/>
  <c r="F47" i="4"/>
  <c r="D47" i="4"/>
  <c r="B47" i="4"/>
  <c r="V33" i="4"/>
  <c r="R33" i="4"/>
  <c r="P33" i="4"/>
  <c r="N33" i="4"/>
  <c r="L33" i="4"/>
  <c r="J33" i="4"/>
  <c r="H33" i="4"/>
  <c r="F33" i="4"/>
  <c r="B33" i="4"/>
  <c r="R35" i="4"/>
  <c r="P35" i="4"/>
  <c r="N35" i="4"/>
  <c r="J35" i="4"/>
  <c r="R34" i="4"/>
  <c r="P34" i="4"/>
  <c r="N34" i="4"/>
  <c r="L34" i="4"/>
  <c r="J34" i="4"/>
  <c r="H34" i="4"/>
  <c r="F34" i="4"/>
  <c r="D34" i="4"/>
  <c r="B34" i="4"/>
  <c r="R36" i="4"/>
  <c r="P36" i="4"/>
  <c r="N36" i="4"/>
  <c r="L36" i="4"/>
  <c r="J36" i="4"/>
  <c r="H36" i="4"/>
  <c r="F36" i="4"/>
  <c r="B36" i="4"/>
  <c r="V32" i="4"/>
  <c r="R32" i="4"/>
  <c r="P32" i="4"/>
  <c r="N32" i="4"/>
  <c r="L32" i="4"/>
  <c r="J32" i="4"/>
  <c r="H32" i="4"/>
  <c r="F32" i="4"/>
  <c r="D32" i="4"/>
  <c r="B32" i="4"/>
  <c r="V29" i="4"/>
  <c r="R29" i="4"/>
  <c r="P29" i="4"/>
  <c r="N29" i="4"/>
  <c r="L29" i="4"/>
  <c r="J29" i="4"/>
  <c r="H29" i="4"/>
  <c r="F29" i="4"/>
  <c r="D29" i="4"/>
  <c r="B29" i="4"/>
  <c r="R30" i="4"/>
  <c r="P30" i="4"/>
  <c r="N30" i="4"/>
  <c r="L30" i="4"/>
  <c r="H30" i="4"/>
  <c r="F30" i="4"/>
  <c r="D30" i="4"/>
  <c r="B30" i="4"/>
  <c r="V23" i="4"/>
  <c r="R23" i="4"/>
  <c r="P23" i="4"/>
  <c r="N23" i="4"/>
  <c r="L23" i="4"/>
  <c r="J23" i="4"/>
  <c r="F23" i="4"/>
  <c r="D23" i="4"/>
  <c r="B23" i="4"/>
  <c r="V25" i="4"/>
  <c r="R25" i="4"/>
  <c r="P25" i="4"/>
  <c r="N25" i="4"/>
  <c r="L25" i="4"/>
  <c r="J25" i="4"/>
  <c r="H25" i="4"/>
  <c r="F25" i="4"/>
  <c r="D25" i="4"/>
  <c r="B25" i="4"/>
  <c r="V27" i="4"/>
  <c r="R27" i="4"/>
  <c r="P27" i="4"/>
  <c r="N27" i="4"/>
  <c r="L27" i="4"/>
  <c r="J27" i="4"/>
  <c r="H27" i="4"/>
  <c r="F27" i="4"/>
  <c r="D27" i="4"/>
  <c r="B27" i="4"/>
  <c r="V22" i="4"/>
  <c r="R22" i="4"/>
  <c r="P22" i="4"/>
  <c r="N22" i="4"/>
  <c r="L22" i="4"/>
  <c r="J22" i="4"/>
  <c r="H22" i="4"/>
  <c r="F22" i="4"/>
  <c r="D22" i="4"/>
  <c r="B22" i="4"/>
  <c r="V26" i="4"/>
  <c r="R26" i="4"/>
  <c r="P26" i="4"/>
  <c r="N26" i="4"/>
  <c r="L26" i="4"/>
  <c r="J26" i="4"/>
  <c r="H26" i="4"/>
  <c r="F26" i="4"/>
  <c r="D26" i="4"/>
  <c r="B26" i="4"/>
  <c r="V20" i="4"/>
  <c r="R20" i="4"/>
  <c r="P20" i="4"/>
  <c r="N20" i="4"/>
  <c r="L20" i="4"/>
  <c r="J20" i="4"/>
  <c r="H20" i="4"/>
  <c r="F20" i="4"/>
  <c r="D20" i="4"/>
  <c r="B20" i="4"/>
  <c r="V24" i="4"/>
  <c r="R24" i="4"/>
  <c r="P24" i="4"/>
  <c r="N24" i="4"/>
  <c r="L24" i="4"/>
  <c r="J24" i="4"/>
  <c r="H24" i="4"/>
  <c r="F24" i="4"/>
  <c r="D24" i="4"/>
  <c r="B24" i="4"/>
  <c r="V17" i="4"/>
  <c r="R17" i="4"/>
  <c r="P17" i="4"/>
  <c r="N17" i="4"/>
  <c r="L17" i="4"/>
  <c r="J17" i="4"/>
  <c r="H17" i="4"/>
  <c r="F17" i="4"/>
  <c r="D17" i="4"/>
  <c r="B17" i="4"/>
  <c r="V15" i="4"/>
  <c r="R15" i="4"/>
  <c r="P15" i="4"/>
  <c r="N15" i="4"/>
  <c r="L15" i="4"/>
  <c r="J15" i="4"/>
  <c r="F15" i="4"/>
  <c r="D15" i="4"/>
  <c r="B15" i="4"/>
  <c r="V16" i="4"/>
  <c r="R16" i="4"/>
  <c r="P16" i="4"/>
  <c r="N16" i="4"/>
  <c r="L16" i="4"/>
  <c r="J16" i="4"/>
  <c r="H16" i="4"/>
  <c r="F16" i="4"/>
  <c r="D16" i="4"/>
  <c r="B16" i="4"/>
  <c r="V19" i="4"/>
  <c r="R19" i="4"/>
  <c r="P19" i="4"/>
  <c r="N19" i="4"/>
  <c r="L19" i="4"/>
  <c r="J19" i="4"/>
  <c r="H19" i="4"/>
  <c r="F19" i="4"/>
  <c r="D19" i="4"/>
  <c r="B19" i="4"/>
  <c r="V14" i="4"/>
  <c r="R14" i="4"/>
  <c r="P14" i="4"/>
  <c r="N14" i="4"/>
  <c r="L14" i="4"/>
  <c r="J14" i="4"/>
  <c r="H14" i="4"/>
  <c r="F14" i="4"/>
  <c r="D14" i="4"/>
  <c r="B14" i="4"/>
  <c r="V13" i="4"/>
  <c r="R13" i="4"/>
  <c r="P13" i="4"/>
  <c r="N13" i="4"/>
  <c r="L13" i="4"/>
  <c r="J13" i="4"/>
  <c r="H13" i="4"/>
  <c r="F13" i="4"/>
  <c r="D13" i="4"/>
  <c r="B13" i="4"/>
  <c r="V10" i="4"/>
  <c r="R10" i="4"/>
  <c r="P10" i="4"/>
  <c r="N10" i="4"/>
  <c r="L10" i="4"/>
  <c r="J10" i="4"/>
  <c r="H10" i="4"/>
  <c r="F10" i="4"/>
  <c r="D10" i="4"/>
  <c r="B10" i="4"/>
  <c r="V11" i="4"/>
  <c r="R11" i="4"/>
  <c r="P11" i="4"/>
  <c r="N11" i="4"/>
  <c r="L11" i="4"/>
  <c r="J11" i="4"/>
  <c r="H11" i="4"/>
  <c r="F11" i="4"/>
  <c r="D11" i="4"/>
  <c r="B11" i="4"/>
  <c r="V12" i="4"/>
  <c r="R12" i="4"/>
  <c r="P12" i="4"/>
  <c r="N12" i="4"/>
  <c r="L12" i="4"/>
  <c r="J12" i="4"/>
  <c r="H12" i="4"/>
  <c r="F12" i="4"/>
  <c r="D12" i="4"/>
  <c r="B12" i="4"/>
  <c r="V9" i="4"/>
  <c r="R9" i="4"/>
  <c r="P9" i="4"/>
  <c r="N9" i="4"/>
  <c r="L9" i="4"/>
  <c r="J9" i="4"/>
  <c r="H9" i="4"/>
  <c r="F9" i="4"/>
  <c r="D9" i="4"/>
  <c r="B9" i="4"/>
  <c r="V7" i="4"/>
  <c r="R7" i="4"/>
  <c r="P7" i="4"/>
  <c r="N7" i="4"/>
  <c r="L7" i="4"/>
  <c r="J7" i="4"/>
  <c r="H7" i="4"/>
  <c r="F7" i="4"/>
  <c r="D7" i="4"/>
  <c r="B7" i="4"/>
  <c r="V8" i="4"/>
  <c r="R8" i="4"/>
  <c r="P8" i="4"/>
  <c r="N8" i="4"/>
  <c r="L8" i="4"/>
  <c r="J8" i="4"/>
  <c r="H8" i="4"/>
  <c r="F8" i="4"/>
  <c r="D8" i="4"/>
  <c r="B8" i="4"/>
  <c r="V6" i="4"/>
  <c r="R6" i="4"/>
  <c r="P6" i="4"/>
  <c r="N6" i="4"/>
  <c r="L6" i="4"/>
  <c r="J6" i="4"/>
  <c r="H6" i="4"/>
  <c r="F6" i="4"/>
  <c r="D6" i="4"/>
  <c r="B6" i="4"/>
  <c r="V5" i="4"/>
  <c r="R5" i="4"/>
  <c r="P5" i="4"/>
  <c r="N5" i="4"/>
  <c r="L5" i="4"/>
  <c r="J5" i="4"/>
  <c r="H5" i="4"/>
  <c r="F5" i="4"/>
  <c r="F4" i="4" s="1"/>
  <c r="D5" i="4"/>
  <c r="B5" i="4"/>
  <c r="T4" i="4"/>
  <c r="U56" i="4" s="1"/>
  <c r="J25" i="6"/>
  <c r="K25" i="6" s="1"/>
  <c r="F25" i="6"/>
  <c r="D25" i="6"/>
  <c r="C25" i="6"/>
  <c r="J24" i="6"/>
  <c r="K24" i="6" s="1"/>
  <c r="F24" i="6"/>
  <c r="D24" i="6"/>
  <c r="J23" i="6"/>
  <c r="K23" i="6" s="1"/>
  <c r="F23" i="6"/>
  <c r="D23" i="6"/>
  <c r="C23" i="6"/>
  <c r="J22" i="6"/>
  <c r="K22" i="6" s="1"/>
  <c r="F22" i="6"/>
  <c r="D22" i="6"/>
  <c r="J21" i="6"/>
  <c r="K21" i="6" s="1"/>
  <c r="F21" i="6"/>
  <c r="D21" i="6"/>
  <c r="C21" i="6"/>
  <c r="J20" i="6"/>
  <c r="K20" i="6" s="1"/>
  <c r="F20" i="6"/>
  <c r="D20" i="6"/>
  <c r="K18" i="6"/>
  <c r="J18" i="6"/>
  <c r="H18" i="6"/>
  <c r="I18" i="6" s="1"/>
  <c r="F18" i="6"/>
  <c r="J17" i="6"/>
  <c r="K17" i="6" s="1"/>
  <c r="H17" i="6"/>
  <c r="F17" i="6"/>
  <c r="H16" i="6"/>
  <c r="I24" i="6" s="1"/>
  <c r="B16" i="6"/>
  <c r="C19" i="6" s="1"/>
  <c r="C13" i="6"/>
  <c r="K10" i="6"/>
  <c r="K9" i="6"/>
  <c r="J4" i="6"/>
  <c r="K12" i="6" s="1"/>
  <c r="H4" i="6"/>
  <c r="I13" i="6" s="1"/>
  <c r="F4" i="6"/>
  <c r="D4" i="6"/>
  <c r="E11" i="6" s="1"/>
  <c r="B4" i="6"/>
  <c r="C8" i="6" s="1"/>
  <c r="B42" i="7"/>
  <c r="B48" i="7"/>
  <c r="B45" i="7"/>
  <c r="B37" i="7"/>
  <c r="B41" i="7"/>
  <c r="B50" i="7"/>
  <c r="B47" i="7"/>
  <c r="B44" i="7"/>
  <c r="B52" i="7"/>
  <c r="B40" i="7"/>
  <c r="B49" i="7"/>
  <c r="B46" i="7"/>
  <c r="B43" i="7"/>
  <c r="B38" i="7"/>
  <c r="B39" i="7"/>
  <c r="B51" i="7"/>
  <c r="B33" i="7"/>
  <c r="B34" i="7"/>
  <c r="B35" i="7"/>
  <c r="B31" i="7"/>
  <c r="B36" i="7"/>
  <c r="B28" i="7"/>
  <c r="B32" i="7"/>
  <c r="B29" i="7"/>
  <c r="B30" i="7"/>
  <c r="B23" i="7"/>
  <c r="B21" i="7"/>
  <c r="B25" i="7"/>
  <c r="B27" i="7"/>
  <c r="B22" i="7"/>
  <c r="B26" i="7"/>
  <c r="B18" i="7"/>
  <c r="B20" i="7"/>
  <c r="B24" i="7"/>
  <c r="B17" i="7"/>
  <c r="B15" i="7"/>
  <c r="B16" i="7"/>
  <c r="B19" i="7"/>
  <c r="B14" i="7"/>
  <c r="B13" i="7"/>
  <c r="B10" i="7"/>
  <c r="B11" i="7"/>
  <c r="B9" i="7"/>
  <c r="B7" i="7"/>
  <c r="B8" i="7"/>
  <c r="B6" i="7"/>
  <c r="B5" i="7"/>
  <c r="N4" i="7"/>
  <c r="L4" i="7"/>
  <c r="J4" i="7"/>
  <c r="H4" i="7"/>
  <c r="F4" i="7"/>
  <c r="G5" i="7" s="1"/>
  <c r="D4" i="7"/>
  <c r="E6" i="7" s="1"/>
  <c r="J16" i="8"/>
  <c r="K24" i="8" s="1"/>
  <c r="H16" i="8"/>
  <c r="I22" i="8" s="1"/>
  <c r="F16" i="8"/>
  <c r="D16" i="8"/>
  <c r="E25" i="8" s="1"/>
  <c r="B16" i="8"/>
  <c r="C21" i="8" s="1"/>
  <c r="J4" i="8"/>
  <c r="K8" i="8" s="1"/>
  <c r="H4" i="8"/>
  <c r="I12" i="8" s="1"/>
  <c r="F4" i="8"/>
  <c r="G10" i="8" s="1"/>
  <c r="D4" i="8"/>
  <c r="E13" i="8" s="1"/>
  <c r="B4" i="8"/>
  <c r="C13" i="8" s="1"/>
  <c r="R19" i="9"/>
  <c r="N19" i="9"/>
  <c r="J19" i="9"/>
  <c r="F19" i="9"/>
  <c r="I19" i="9" s="1"/>
  <c r="B19" i="9"/>
  <c r="R18" i="9"/>
  <c r="N18" i="9"/>
  <c r="J18" i="9"/>
  <c r="F18" i="9"/>
  <c r="B18" i="9"/>
  <c r="R17" i="9"/>
  <c r="N17" i="9"/>
  <c r="J17" i="9"/>
  <c r="F17" i="9"/>
  <c r="B17" i="9"/>
  <c r="R16" i="9"/>
  <c r="N16" i="9"/>
  <c r="J16" i="9"/>
  <c r="F16" i="9"/>
  <c r="I16" i="9" s="1"/>
  <c r="B16" i="9"/>
  <c r="R15" i="9"/>
  <c r="N15" i="9"/>
  <c r="J15" i="9"/>
  <c r="F15" i="9"/>
  <c r="B15" i="9"/>
  <c r="T14" i="9"/>
  <c r="S14" i="9"/>
  <c r="R14" i="9"/>
  <c r="P14" i="9"/>
  <c r="O14" i="9"/>
  <c r="L14" i="9"/>
  <c r="K14" i="9"/>
  <c r="J14" i="9" s="1"/>
  <c r="F14" i="9"/>
  <c r="B14" i="9"/>
  <c r="R10" i="9"/>
  <c r="N10" i="9"/>
  <c r="J10" i="9"/>
  <c r="F10" i="9"/>
  <c r="B10" i="9"/>
  <c r="R9" i="9"/>
  <c r="N9" i="9"/>
  <c r="J9" i="9"/>
  <c r="M9" i="9" s="1"/>
  <c r="F9" i="9"/>
  <c r="I9" i="9" s="1"/>
  <c r="B9" i="9"/>
  <c r="R8" i="9"/>
  <c r="U8" i="9" s="1"/>
  <c r="N8" i="9"/>
  <c r="J8" i="9"/>
  <c r="F8" i="9"/>
  <c r="B8" i="9"/>
  <c r="E8" i="9" s="1"/>
  <c r="R7" i="9"/>
  <c r="N7" i="9"/>
  <c r="J7" i="9"/>
  <c r="F7" i="9"/>
  <c r="B7" i="9"/>
  <c r="R6" i="9"/>
  <c r="N6" i="9"/>
  <c r="J6" i="9"/>
  <c r="M6" i="9" s="1"/>
  <c r="F6" i="9"/>
  <c r="I6" i="9" s="1"/>
  <c r="B6" i="9"/>
  <c r="E6" i="9" s="1"/>
  <c r="R5" i="9"/>
  <c r="N5" i="9"/>
  <c r="J5" i="9"/>
  <c r="F5" i="9"/>
  <c r="B5" i="9"/>
  <c r="I16" i="16" l="1"/>
  <c r="C10" i="16"/>
  <c r="K23" i="16"/>
  <c r="F15" i="16"/>
  <c r="G17" i="16" s="1"/>
  <c r="E6" i="16"/>
  <c r="E10" i="16"/>
  <c r="K10" i="16"/>
  <c r="K21" i="16"/>
  <c r="K22" i="16"/>
  <c r="K9" i="18"/>
  <c r="G15" i="18"/>
  <c r="K10" i="18"/>
  <c r="K19" i="18"/>
  <c r="K8" i="18"/>
  <c r="K17" i="18"/>
  <c r="K16" i="18"/>
  <c r="K12" i="14"/>
  <c r="O20" i="13"/>
  <c r="Q22" i="13"/>
  <c r="E24" i="13"/>
  <c r="E17" i="13"/>
  <c r="C16" i="13"/>
  <c r="C17" i="13"/>
  <c r="M5" i="13"/>
  <c r="O10" i="13"/>
  <c r="Q25" i="13"/>
  <c r="Q10" i="13"/>
  <c r="O27" i="13"/>
  <c r="O11" i="13"/>
  <c r="M19" i="13"/>
  <c r="M20" i="13"/>
  <c r="E7" i="14"/>
  <c r="N14" i="15"/>
  <c r="Q17" i="15" s="1"/>
  <c r="E9" i="10"/>
  <c r="E11" i="10"/>
  <c r="E8" i="10"/>
  <c r="G8" i="14"/>
  <c r="G14" i="18"/>
  <c r="E14" i="18"/>
  <c r="K17" i="16"/>
  <c r="Q7" i="9"/>
  <c r="U10" i="9"/>
  <c r="E16" i="9"/>
  <c r="K11" i="6"/>
  <c r="C5" i="10"/>
  <c r="M19" i="9"/>
  <c r="I5" i="6"/>
  <c r="C9" i="10"/>
  <c r="I5" i="14"/>
  <c r="K5" i="6"/>
  <c r="C8" i="10"/>
  <c r="K7" i="11"/>
  <c r="W5" i="13"/>
  <c r="G12" i="13"/>
  <c r="G23" i="13"/>
  <c r="W28" i="13"/>
  <c r="I8" i="14"/>
  <c r="K15" i="14"/>
  <c r="K15" i="18"/>
  <c r="E6" i="14"/>
  <c r="G5" i="13"/>
  <c r="C14" i="11"/>
  <c r="W9" i="13"/>
  <c r="Q9" i="9"/>
  <c r="Q6" i="9"/>
  <c r="I8" i="9"/>
  <c r="U9" i="9"/>
  <c r="I6" i="6"/>
  <c r="K13" i="6"/>
  <c r="C7" i="10"/>
  <c r="G21" i="10"/>
  <c r="G9" i="11"/>
  <c r="K6" i="11"/>
  <c r="G6" i="13"/>
  <c r="K12" i="13"/>
  <c r="K23" i="13"/>
  <c r="Q29" i="13"/>
  <c r="C8" i="14"/>
  <c r="I7" i="14"/>
  <c r="K14" i="14"/>
  <c r="K11" i="14" s="1"/>
  <c r="I18" i="15"/>
  <c r="Q19" i="15"/>
  <c r="U19" i="15"/>
  <c r="E11" i="18"/>
  <c r="K12" i="18"/>
  <c r="K16" i="16"/>
  <c r="E4" i="27"/>
  <c r="E6" i="10"/>
  <c r="M16" i="9"/>
  <c r="U6" i="9"/>
  <c r="M8" i="9"/>
  <c r="K6" i="6"/>
  <c r="C6" i="10"/>
  <c r="I5" i="11"/>
  <c r="W6" i="13"/>
  <c r="W23" i="13"/>
  <c r="K30" i="13"/>
  <c r="E5" i="14"/>
  <c r="U17" i="15"/>
  <c r="G8" i="18"/>
  <c r="E9" i="18"/>
  <c r="K13" i="18"/>
  <c r="K19" i="16"/>
  <c r="E7" i="10"/>
  <c r="K9" i="11"/>
  <c r="G21" i="13"/>
  <c r="U7" i="9"/>
  <c r="G6" i="8"/>
  <c r="G28" i="13"/>
  <c r="E12" i="18"/>
  <c r="Q8" i="9"/>
  <c r="K8" i="6"/>
  <c r="E5" i="10"/>
  <c r="I7" i="11"/>
  <c r="I8" i="13"/>
  <c r="W18" i="13"/>
  <c r="O25" i="13"/>
  <c r="C15" i="14"/>
  <c r="E8" i="18"/>
  <c r="K11" i="18"/>
  <c r="C6" i="16"/>
  <c r="K20" i="16"/>
  <c r="C21" i="12"/>
  <c r="G21" i="12"/>
  <c r="C18" i="12"/>
  <c r="E11" i="12"/>
  <c r="G18" i="12"/>
  <c r="I5" i="12"/>
  <c r="G16" i="12"/>
  <c r="I10" i="12"/>
  <c r="C19" i="12"/>
  <c r="E17" i="12"/>
  <c r="G17" i="12"/>
  <c r="E16" i="12"/>
  <c r="I11" i="12"/>
  <c r="G15" i="12"/>
  <c r="I17" i="12"/>
  <c r="E18" i="12"/>
  <c r="C6" i="12"/>
  <c r="E20" i="12"/>
  <c r="E19" i="12"/>
  <c r="G19" i="12"/>
  <c r="K15" i="12"/>
  <c r="K17" i="11"/>
  <c r="K16" i="11"/>
  <c r="K15" i="11"/>
  <c r="K14" i="11"/>
  <c r="K12" i="11" s="1"/>
  <c r="K6" i="10"/>
  <c r="K11" i="10"/>
  <c r="I10" i="10"/>
  <c r="I9" i="10"/>
  <c r="K9" i="10"/>
  <c r="K8" i="10"/>
  <c r="I5" i="10"/>
  <c r="G6" i="10"/>
  <c r="K7" i="10"/>
  <c r="E19" i="10"/>
  <c r="G19" i="10"/>
  <c r="E18" i="10"/>
  <c r="G18" i="10"/>
  <c r="E17" i="10"/>
  <c r="G17" i="10"/>
  <c r="E16" i="10"/>
  <c r="G16" i="10"/>
  <c r="G15" i="10"/>
  <c r="E6" i="8"/>
  <c r="G7" i="8"/>
  <c r="G9" i="8"/>
  <c r="E11" i="8"/>
  <c r="C6" i="8"/>
  <c r="G11" i="8"/>
  <c r="E18" i="8"/>
  <c r="E21" i="8"/>
  <c r="E5" i="7"/>
  <c r="E7" i="7"/>
  <c r="E10" i="7"/>
  <c r="E16" i="7"/>
  <c r="E20" i="7"/>
  <c r="E9" i="7"/>
  <c r="E13" i="7"/>
  <c r="E15" i="7"/>
  <c r="E18" i="7"/>
  <c r="E17" i="7"/>
  <c r="E26" i="7"/>
  <c r="E21" i="7"/>
  <c r="N4" i="4"/>
  <c r="O43" i="4" s="1"/>
  <c r="D4" i="4"/>
  <c r="E43" i="4" s="1"/>
  <c r="G72" i="4"/>
  <c r="G43" i="4"/>
  <c r="G73" i="4"/>
  <c r="G46" i="4"/>
  <c r="G52" i="4"/>
  <c r="O15" i="4"/>
  <c r="K6" i="7"/>
  <c r="K14" i="7"/>
  <c r="K26" i="7"/>
  <c r="K8" i="7"/>
  <c r="K19" i="7"/>
  <c r="K22" i="7"/>
  <c r="K28" i="7"/>
  <c r="K38" i="7"/>
  <c r="K33" i="7"/>
  <c r="K23" i="7"/>
  <c r="K37" i="7"/>
  <c r="K30" i="7"/>
  <c r="K13" i="7"/>
  <c r="K25" i="7"/>
  <c r="K34" i="7"/>
  <c r="K7" i="7"/>
  <c r="K9" i="7"/>
  <c r="K12" i="7"/>
  <c r="K20" i="7"/>
  <c r="K36" i="7"/>
  <c r="K49" i="7"/>
  <c r="K42" i="7"/>
  <c r="K16" i="7"/>
  <c r="K21" i="7"/>
  <c r="K17" i="7"/>
  <c r="K29" i="7"/>
  <c r="K11" i="7"/>
  <c r="K18" i="7"/>
  <c r="K31" i="7"/>
  <c r="K10" i="7"/>
  <c r="K27" i="7"/>
  <c r="K35" i="7"/>
  <c r="K15" i="7"/>
  <c r="K24" i="7"/>
  <c r="C9" i="6"/>
  <c r="O5" i="4"/>
  <c r="B13" i="5"/>
  <c r="L13" i="5" s="1"/>
  <c r="E18" i="9"/>
  <c r="I21" i="8"/>
  <c r="E17" i="15"/>
  <c r="E15" i="9"/>
  <c r="E4" i="10"/>
  <c r="C21" i="10"/>
  <c r="E7" i="12"/>
  <c r="E10" i="12"/>
  <c r="E8" i="12"/>
  <c r="I17" i="15"/>
  <c r="U9" i="15"/>
  <c r="F12" i="27"/>
  <c r="G17" i="27" s="1"/>
  <c r="I15" i="9"/>
  <c r="I9" i="6"/>
  <c r="I7" i="6"/>
  <c r="K16" i="6"/>
  <c r="O24" i="4"/>
  <c r="O27" i="4"/>
  <c r="G9" i="10"/>
  <c r="G8" i="10"/>
  <c r="I20" i="10"/>
  <c r="I15" i="10"/>
  <c r="I19" i="10"/>
  <c r="G5" i="10"/>
  <c r="I18" i="10"/>
  <c r="G8" i="12"/>
  <c r="G9" i="12"/>
  <c r="G6" i="12"/>
  <c r="E6" i="12"/>
  <c r="O24" i="13"/>
  <c r="O19" i="13"/>
  <c r="O16" i="13"/>
  <c r="O7" i="13"/>
  <c r="O14" i="13"/>
  <c r="O32" i="13"/>
  <c r="C17" i="10"/>
  <c r="C15" i="10"/>
  <c r="I25" i="13"/>
  <c r="I21" i="13"/>
  <c r="I5" i="13"/>
  <c r="I19" i="13"/>
  <c r="I12" i="13"/>
  <c r="I11" i="13"/>
  <c r="I17" i="13"/>
  <c r="U18" i="15"/>
  <c r="P4" i="4"/>
  <c r="Q64" i="4" s="1"/>
  <c r="F11" i="14"/>
  <c r="G13" i="14" s="1"/>
  <c r="I18" i="9"/>
  <c r="I23" i="8"/>
  <c r="G6" i="6"/>
  <c r="G11" i="6"/>
  <c r="C10" i="6"/>
  <c r="K19" i="12"/>
  <c r="K21" i="12"/>
  <c r="K18" i="12"/>
  <c r="K20" i="12"/>
  <c r="I32" i="13"/>
  <c r="M18" i="9"/>
  <c r="E7" i="9"/>
  <c r="C20" i="6"/>
  <c r="B4" i="4"/>
  <c r="C7" i="4" s="1"/>
  <c r="O8" i="4"/>
  <c r="O19" i="4"/>
  <c r="I8" i="10"/>
  <c r="I7" i="10"/>
  <c r="I6" i="10"/>
  <c r="C19" i="10"/>
  <c r="I17" i="10"/>
  <c r="E15" i="11"/>
  <c r="E13" i="11"/>
  <c r="E17" i="11"/>
  <c r="E14" i="11"/>
  <c r="C17" i="11"/>
  <c r="I6" i="12"/>
  <c r="I7" i="12"/>
  <c r="G5" i="12"/>
  <c r="I8" i="12"/>
  <c r="K16" i="12"/>
  <c r="Q28" i="13"/>
  <c r="Q24" i="13"/>
  <c r="Q11" i="13"/>
  <c r="Q20" i="13"/>
  <c r="Q14" i="13"/>
  <c r="Q6" i="13"/>
  <c r="Q19" i="13"/>
  <c r="I6" i="13"/>
  <c r="I15" i="13"/>
  <c r="Q32" i="13"/>
  <c r="U15" i="15"/>
  <c r="G19" i="8"/>
  <c r="G23" i="8"/>
  <c r="G18" i="8"/>
  <c r="U17" i="9"/>
  <c r="K5" i="8"/>
  <c r="G21" i="8"/>
  <c r="O17" i="4"/>
  <c r="G7" i="11"/>
  <c r="C9" i="12"/>
  <c r="C11" i="12"/>
  <c r="C7" i="12"/>
  <c r="I20" i="12"/>
  <c r="I15" i="12"/>
  <c r="I19" i="12"/>
  <c r="I26" i="13"/>
  <c r="E10" i="9"/>
  <c r="U16" i="9"/>
  <c r="I18" i="8"/>
  <c r="I10" i="9"/>
  <c r="E17" i="9"/>
  <c r="K12" i="8"/>
  <c r="I4" i="6"/>
  <c r="I11" i="6"/>
  <c r="C22" i="6"/>
  <c r="K15" i="10"/>
  <c r="K5" i="10"/>
  <c r="C16" i="11"/>
  <c r="C12" i="11" s="1"/>
  <c r="C10" i="12"/>
  <c r="G11" i="12"/>
  <c r="I21" i="12"/>
  <c r="I28" i="13"/>
  <c r="B4" i="7"/>
  <c r="C14" i="7" s="1"/>
  <c r="I8" i="7"/>
  <c r="I19" i="7"/>
  <c r="I22" i="7"/>
  <c r="I28" i="7"/>
  <c r="I50" i="7"/>
  <c r="I7" i="7"/>
  <c r="I16" i="7"/>
  <c r="I27" i="7"/>
  <c r="I36" i="7"/>
  <c r="I43" i="7"/>
  <c r="I9" i="7"/>
  <c r="I26" i="7"/>
  <c r="I25" i="7"/>
  <c r="I33" i="7"/>
  <c r="I12" i="7"/>
  <c r="I20" i="7"/>
  <c r="I32" i="7"/>
  <c r="I42" i="7"/>
  <c r="I18" i="7"/>
  <c r="I15" i="7"/>
  <c r="I23" i="7"/>
  <c r="I37" i="7"/>
  <c r="I11" i="7"/>
  <c r="I13" i="7"/>
  <c r="I21" i="7"/>
  <c r="I6" i="7"/>
  <c r="I17" i="7"/>
  <c r="I30" i="7"/>
  <c r="I24" i="7"/>
  <c r="I29" i="7"/>
  <c r="I46" i="7"/>
  <c r="I31" i="7"/>
  <c r="I10" i="7"/>
  <c r="I14" i="7"/>
  <c r="K10" i="8"/>
  <c r="J4" i="4"/>
  <c r="K8" i="4" s="1"/>
  <c r="O29" i="4"/>
  <c r="G8" i="11"/>
  <c r="I18" i="13"/>
  <c r="C6" i="6"/>
  <c r="E23" i="6"/>
  <c r="V4" i="4"/>
  <c r="W72" i="4" s="1"/>
  <c r="K7" i="14"/>
  <c r="K8" i="14"/>
  <c r="K5" i="14"/>
  <c r="K6" i="14"/>
  <c r="E12" i="27"/>
  <c r="U19" i="9"/>
  <c r="O10" i="7"/>
  <c r="O20" i="7"/>
  <c r="O30" i="7"/>
  <c r="O13" i="7"/>
  <c r="O18" i="7"/>
  <c r="O29" i="7"/>
  <c r="O44" i="7"/>
  <c r="O12" i="7"/>
  <c r="O35" i="7"/>
  <c r="O34" i="7"/>
  <c r="O6" i="7"/>
  <c r="O41" i="7"/>
  <c r="O8" i="7"/>
  <c r="O37" i="7"/>
  <c r="O11" i="7"/>
  <c r="O22" i="7"/>
  <c r="O31" i="7"/>
  <c r="O40" i="7"/>
  <c r="O16" i="7"/>
  <c r="O15" i="7"/>
  <c r="O7" i="7"/>
  <c r="O17" i="7"/>
  <c r="O32" i="7"/>
  <c r="O45" i="7"/>
  <c r="O14" i="7"/>
  <c r="O27" i="7"/>
  <c r="O21" i="7"/>
  <c r="O9" i="7"/>
  <c r="O24" i="7"/>
  <c r="O48" i="7"/>
  <c r="O26" i="7"/>
  <c r="O36" i="7"/>
  <c r="O47" i="7"/>
  <c r="O19" i="7"/>
  <c r="O25" i="7"/>
  <c r="O39" i="7"/>
  <c r="O23" i="7"/>
  <c r="E9" i="12"/>
  <c r="G25" i="8"/>
  <c r="M15" i="9"/>
  <c r="E7" i="8"/>
  <c r="E8" i="8"/>
  <c r="I19" i="8"/>
  <c r="I25" i="8"/>
  <c r="C7" i="6"/>
  <c r="C24" i="6"/>
  <c r="R4" i="4"/>
  <c r="S22" i="4" s="1"/>
  <c r="I7" i="9"/>
  <c r="M10" i="9"/>
  <c r="C9" i="8"/>
  <c r="K19" i="8"/>
  <c r="E28" i="7"/>
  <c r="E22" i="7"/>
  <c r="E24" i="7"/>
  <c r="E19" i="7"/>
  <c r="E11" i="7"/>
  <c r="E8" i="7"/>
  <c r="E14" i="7"/>
  <c r="G8" i="6"/>
  <c r="I17" i="6"/>
  <c r="D16" i="6"/>
  <c r="E21" i="6" s="1"/>
  <c r="H4" i="4"/>
  <c r="I16" i="4" s="1"/>
  <c r="O20" i="4"/>
  <c r="O28" i="4"/>
  <c r="G10" i="10"/>
  <c r="C18" i="10"/>
  <c r="I16" i="10"/>
  <c r="Q13" i="13"/>
  <c r="Q16" i="13"/>
  <c r="M7" i="9"/>
  <c r="E9" i="9"/>
  <c r="Q10" i="9"/>
  <c r="N14" i="9"/>
  <c r="Q15" i="9" s="1"/>
  <c r="U15" i="9"/>
  <c r="M17" i="9"/>
  <c r="E19" i="9"/>
  <c r="E9" i="8"/>
  <c r="G20" i="8"/>
  <c r="G7" i="7"/>
  <c r="G16" i="7"/>
  <c r="G27" i="7"/>
  <c r="G9" i="7"/>
  <c r="G15" i="7"/>
  <c r="G25" i="7"/>
  <c r="G31" i="7"/>
  <c r="G37" i="7"/>
  <c r="G33" i="7"/>
  <c r="G6" i="7"/>
  <c r="G29" i="7"/>
  <c r="G20" i="7"/>
  <c r="G28" i="7"/>
  <c r="G19" i="7"/>
  <c r="G23" i="7"/>
  <c r="G10" i="7"/>
  <c r="G26" i="7"/>
  <c r="G30" i="7"/>
  <c r="G12" i="7"/>
  <c r="G18" i="7"/>
  <c r="G13" i="7"/>
  <c r="G22" i="7"/>
  <c r="G14" i="7"/>
  <c r="G17" i="7"/>
  <c r="G8" i="7"/>
  <c r="G32" i="7"/>
  <c r="G11" i="7"/>
  <c r="C5" i="6"/>
  <c r="I8" i="6"/>
  <c r="C12" i="6"/>
  <c r="F16" i="6"/>
  <c r="G17" i="6" s="1"/>
  <c r="L4" i="4"/>
  <c r="M45" i="4" s="1"/>
  <c r="O10" i="4"/>
  <c r="K18" i="10"/>
  <c r="G7" i="10"/>
  <c r="K10" i="10"/>
  <c r="C16" i="10"/>
  <c r="G14" i="10"/>
  <c r="C5" i="11"/>
  <c r="C9" i="11"/>
  <c r="I16" i="11"/>
  <c r="I12" i="11" s="1"/>
  <c r="I13" i="11"/>
  <c r="I15" i="11"/>
  <c r="G5" i="11"/>
  <c r="G4" i="11" s="1"/>
  <c r="K4" i="11"/>
  <c r="I17" i="11"/>
  <c r="C15" i="11"/>
  <c r="C17" i="12"/>
  <c r="C15" i="12"/>
  <c r="C8" i="12"/>
  <c r="G10" i="12"/>
  <c r="C20" i="12"/>
  <c r="I18" i="12"/>
  <c r="Q7" i="13"/>
  <c r="I20" i="13"/>
  <c r="I24" i="13"/>
  <c r="I17" i="9"/>
  <c r="U18" i="9"/>
  <c r="G13" i="8"/>
  <c r="M13" i="7"/>
  <c r="M18" i="7"/>
  <c r="M29" i="7"/>
  <c r="M51" i="7"/>
  <c r="M44" i="7"/>
  <c r="M6" i="7"/>
  <c r="M14" i="7"/>
  <c r="M26" i="7"/>
  <c r="M32" i="7"/>
  <c r="M39" i="7"/>
  <c r="M8" i="7"/>
  <c r="M20" i="7"/>
  <c r="M42" i="7"/>
  <c r="M31" i="7"/>
  <c r="M52" i="7"/>
  <c r="M7" i="7"/>
  <c r="M17" i="7"/>
  <c r="M30" i="7"/>
  <c r="M43" i="7"/>
  <c r="M45" i="7"/>
  <c r="M11" i="7"/>
  <c r="M10" i="7"/>
  <c r="M19" i="7"/>
  <c r="M25" i="7"/>
  <c r="M34" i="7"/>
  <c r="M9" i="7"/>
  <c r="M24" i="7"/>
  <c r="M28" i="7"/>
  <c r="M22" i="7"/>
  <c r="M35" i="7"/>
  <c r="M16" i="7"/>
  <c r="M21" i="7"/>
  <c r="M33" i="7"/>
  <c r="M41" i="7"/>
  <c r="M15" i="7"/>
  <c r="M23" i="7"/>
  <c r="M38" i="7"/>
  <c r="M12" i="7"/>
  <c r="M36" i="7"/>
  <c r="M40" i="7"/>
  <c r="M27" i="7"/>
  <c r="G25" i="6"/>
  <c r="O12" i="4"/>
  <c r="G10" i="4"/>
  <c r="O14" i="4"/>
  <c r="C10" i="10"/>
  <c r="C4" i="10" s="1"/>
  <c r="E21" i="10"/>
  <c r="E6" i="11"/>
  <c r="I8" i="11"/>
  <c r="E21" i="12"/>
  <c r="K5" i="13"/>
  <c r="G9" i="13"/>
  <c r="G18" i="13"/>
  <c r="W21" i="13"/>
  <c r="W24" i="13"/>
  <c r="C6" i="14"/>
  <c r="G6" i="14"/>
  <c r="G4" i="14" s="1"/>
  <c r="E13" i="14"/>
  <c r="I13" i="14"/>
  <c r="U6" i="15"/>
  <c r="G10" i="18"/>
  <c r="K18" i="18"/>
  <c r="I13" i="27"/>
  <c r="E9" i="11"/>
  <c r="E4" i="11" s="1"/>
  <c r="K8" i="12"/>
  <c r="K7" i="12"/>
  <c r="K6" i="12"/>
  <c r="K10" i="12"/>
  <c r="K11" i="12"/>
  <c r="K5" i="12"/>
  <c r="K9" i="12"/>
  <c r="G24" i="13"/>
  <c r="G30" i="13"/>
  <c r="C5" i="14"/>
  <c r="G5" i="14"/>
  <c r="E12" i="14"/>
  <c r="E11" i="14" s="1"/>
  <c r="I12" i="14"/>
  <c r="E5" i="15"/>
  <c r="U7" i="15"/>
  <c r="E18" i="15"/>
  <c r="G13" i="18"/>
  <c r="E10" i="18"/>
  <c r="I15" i="14"/>
  <c r="E16" i="15"/>
  <c r="G11" i="18"/>
  <c r="O37" i="4"/>
  <c r="O45" i="4"/>
  <c r="W12" i="13"/>
  <c r="W30" i="13"/>
  <c r="U10" i="15"/>
  <c r="G17" i="18"/>
  <c r="I7" i="4"/>
  <c r="G23" i="4"/>
  <c r="G5" i="4"/>
  <c r="G13" i="4"/>
  <c r="G33" i="4"/>
  <c r="G39" i="4"/>
  <c r="G37" i="4"/>
  <c r="G12" i="4"/>
  <c r="G14" i="4"/>
  <c r="G24" i="4"/>
  <c r="G27" i="4"/>
  <c r="G36" i="4"/>
  <c r="G19" i="4"/>
  <c r="B12" i="5"/>
  <c r="I12" i="5" s="1"/>
  <c r="B10" i="5"/>
  <c r="B9" i="5"/>
  <c r="I9" i="5" s="1"/>
  <c r="B11" i="5"/>
  <c r="L11" i="5" s="1"/>
  <c r="B8" i="5"/>
  <c r="I8" i="5" s="1"/>
  <c r="B7" i="5"/>
  <c r="I16" i="5"/>
  <c r="F16" i="5" s="1"/>
  <c r="G13" i="27"/>
  <c r="G15" i="27"/>
  <c r="K4" i="27"/>
  <c r="C12" i="27"/>
  <c r="I4" i="27"/>
  <c r="C4" i="27"/>
  <c r="G16" i="27"/>
  <c r="H12" i="27"/>
  <c r="C21" i="16"/>
  <c r="E18" i="16"/>
  <c r="I22" i="16"/>
  <c r="C23" i="16"/>
  <c r="E23" i="16"/>
  <c r="C18" i="16"/>
  <c r="C19" i="16"/>
  <c r="G10" i="16"/>
  <c r="G6" i="16"/>
  <c r="E7" i="16"/>
  <c r="G7" i="16"/>
  <c r="I10" i="16"/>
  <c r="I5" i="16"/>
  <c r="G12" i="16"/>
  <c r="E16" i="16"/>
  <c r="I17" i="16"/>
  <c r="E22" i="16"/>
  <c r="I21" i="16"/>
  <c r="E20" i="16"/>
  <c r="I12" i="16"/>
  <c r="K7" i="16"/>
  <c r="K12" i="16"/>
  <c r="I20" i="16"/>
  <c r="K6" i="16"/>
  <c r="G23" i="16"/>
  <c r="C5" i="16"/>
  <c r="I6" i="16"/>
  <c r="E11" i="16"/>
  <c r="C17" i="16"/>
  <c r="I18" i="16"/>
  <c r="E21" i="16"/>
  <c r="I23" i="16"/>
  <c r="E19" i="16"/>
  <c r="I7" i="16"/>
  <c r="E5" i="16"/>
  <c r="G11" i="16"/>
  <c r="C12" i="16"/>
  <c r="K5" i="16"/>
  <c r="K11" i="16"/>
  <c r="C11" i="16"/>
  <c r="C16" i="16"/>
  <c r="C22" i="16"/>
  <c r="I7" i="18"/>
  <c r="I6" i="18"/>
  <c r="I10" i="18"/>
  <c r="I15" i="18"/>
  <c r="I16" i="18"/>
  <c r="E5" i="18"/>
  <c r="I4" i="18"/>
  <c r="I11" i="18"/>
  <c r="I13" i="18"/>
  <c r="B4" i="18"/>
  <c r="C17" i="18" s="1"/>
  <c r="G6" i="18"/>
  <c r="E4" i="18"/>
  <c r="E6" i="18"/>
  <c r="K7" i="18"/>
  <c r="K4" i="18"/>
  <c r="K6" i="18"/>
  <c r="G5" i="18"/>
  <c r="I8" i="18"/>
  <c r="G4" i="18"/>
  <c r="I5" i="18"/>
  <c r="E7" i="18"/>
  <c r="I12" i="18"/>
  <c r="K5" i="18"/>
  <c r="G7" i="18"/>
  <c r="I9" i="18"/>
  <c r="J14" i="15"/>
  <c r="M19" i="15" s="1"/>
  <c r="I19" i="15"/>
  <c r="I16" i="15"/>
  <c r="E15" i="15"/>
  <c r="E19" i="15"/>
  <c r="U8" i="15"/>
  <c r="Q5" i="15"/>
  <c r="M5" i="15"/>
  <c r="I5" i="15"/>
  <c r="I15" i="15"/>
  <c r="I4" i="14"/>
  <c r="S17" i="13"/>
  <c r="S26" i="13"/>
  <c r="S15" i="13"/>
  <c r="S8" i="13"/>
  <c r="S30" i="13"/>
  <c r="S23" i="13"/>
  <c r="S12" i="13"/>
  <c r="S5" i="13"/>
  <c r="S25" i="13"/>
  <c r="S14" i="13"/>
  <c r="S7" i="13"/>
  <c r="S29" i="13"/>
  <c r="S22" i="13"/>
  <c r="S13" i="13"/>
  <c r="S32" i="13"/>
  <c r="S19" i="13"/>
  <c r="S20" i="13"/>
  <c r="S11" i="13"/>
  <c r="S31" i="13"/>
  <c r="S24" i="13"/>
  <c r="S18" i="13"/>
  <c r="S6" i="13"/>
  <c r="S21" i="13"/>
  <c r="S28" i="13"/>
  <c r="U6" i="13"/>
  <c r="U8" i="13"/>
  <c r="U18" i="13"/>
  <c r="S16" i="13"/>
  <c r="C26" i="13"/>
  <c r="C15" i="13"/>
  <c r="C8" i="13"/>
  <c r="C30" i="13"/>
  <c r="C23" i="13"/>
  <c r="C12" i="13"/>
  <c r="C5" i="13"/>
  <c r="C25" i="13"/>
  <c r="C14" i="13"/>
  <c r="C7" i="13"/>
  <c r="C29" i="13"/>
  <c r="C22" i="13"/>
  <c r="C13" i="13"/>
  <c r="C32" i="13"/>
  <c r="C19" i="13"/>
  <c r="C20" i="13"/>
  <c r="C11" i="13"/>
  <c r="C31" i="13"/>
  <c r="C24" i="13"/>
  <c r="C18" i="13"/>
  <c r="C6" i="13"/>
  <c r="C28" i="13"/>
  <c r="C21" i="13"/>
  <c r="C10" i="13"/>
  <c r="C9" i="13"/>
  <c r="E18" i="13"/>
  <c r="E8" i="13"/>
  <c r="C27" i="13"/>
  <c r="U30" i="13"/>
  <c r="U23" i="13"/>
  <c r="U12" i="13"/>
  <c r="U5" i="13"/>
  <c r="U29" i="13"/>
  <c r="U32" i="13"/>
  <c r="U19" i="13"/>
  <c r="U20" i="13"/>
  <c r="U11" i="13"/>
  <c r="U22" i="13"/>
  <c r="U13" i="13"/>
  <c r="U31" i="13"/>
  <c r="U16" i="13"/>
  <c r="U10" i="13"/>
  <c r="U25" i="13"/>
  <c r="U14" i="13"/>
  <c r="U7" i="13"/>
  <c r="U27" i="13"/>
  <c r="U28" i="13"/>
  <c r="U21" i="13"/>
  <c r="U9" i="13"/>
  <c r="U17" i="13"/>
  <c r="U26" i="13"/>
  <c r="U15" i="13"/>
  <c r="E6" i="13"/>
  <c r="S10" i="13"/>
  <c r="S9" i="13"/>
  <c r="K29" i="13"/>
  <c r="K22" i="13"/>
  <c r="K13" i="13"/>
  <c r="K28" i="13"/>
  <c r="K31" i="13"/>
  <c r="K27" i="13"/>
  <c r="K16" i="13"/>
  <c r="K10" i="13"/>
  <c r="K21" i="13"/>
  <c r="K9" i="13"/>
  <c r="K17" i="13"/>
  <c r="K26" i="13"/>
  <c r="K15" i="13"/>
  <c r="K24" i="13"/>
  <c r="K18" i="13"/>
  <c r="K6" i="13"/>
  <c r="K32" i="13"/>
  <c r="K19" i="13"/>
  <c r="K20" i="13"/>
  <c r="K11" i="13"/>
  <c r="K25" i="13"/>
  <c r="K14" i="13"/>
  <c r="M11" i="13"/>
  <c r="E30" i="13"/>
  <c r="E23" i="13"/>
  <c r="E12" i="13"/>
  <c r="E5" i="13"/>
  <c r="E32" i="13"/>
  <c r="E19" i="13"/>
  <c r="E20" i="13"/>
  <c r="E11" i="13"/>
  <c r="E29" i="13"/>
  <c r="E22" i="13"/>
  <c r="E13" i="13"/>
  <c r="E31" i="13"/>
  <c r="E27" i="13"/>
  <c r="E16" i="13"/>
  <c r="E10" i="13"/>
  <c r="E25" i="13"/>
  <c r="E14" i="13"/>
  <c r="E7" i="13"/>
  <c r="E28" i="13"/>
  <c r="E21" i="13"/>
  <c r="E9" i="13"/>
  <c r="E26" i="13"/>
  <c r="E15" i="13"/>
  <c r="M31" i="13"/>
  <c r="M27" i="13"/>
  <c r="M16" i="13"/>
  <c r="M10" i="13"/>
  <c r="M17" i="13"/>
  <c r="M24" i="13"/>
  <c r="M18" i="13"/>
  <c r="M6" i="13"/>
  <c r="M26" i="13"/>
  <c r="M15" i="13"/>
  <c r="M8" i="13"/>
  <c r="M30" i="13"/>
  <c r="M23" i="13"/>
  <c r="M12" i="13"/>
  <c r="M28" i="13"/>
  <c r="M21" i="13"/>
  <c r="M9" i="13"/>
  <c r="M32" i="13"/>
  <c r="M25" i="13"/>
  <c r="M14" i="13"/>
  <c r="M7" i="13"/>
  <c r="M29" i="13"/>
  <c r="M22" i="13"/>
  <c r="K8" i="13"/>
  <c r="S27" i="13"/>
  <c r="G8" i="13"/>
  <c r="W8" i="13"/>
  <c r="O13" i="13"/>
  <c r="G15" i="13"/>
  <c r="W15" i="13"/>
  <c r="O22" i="13"/>
  <c r="I23" i="13"/>
  <c r="G26" i="13"/>
  <c r="W26" i="13"/>
  <c r="Q27" i="13"/>
  <c r="O29" i="13"/>
  <c r="I30" i="13"/>
  <c r="G17" i="13"/>
  <c r="W17" i="13"/>
  <c r="Q31" i="13"/>
  <c r="Q5" i="13"/>
  <c r="O8" i="13"/>
  <c r="I10" i="13"/>
  <c r="G13" i="13"/>
  <c r="W13" i="13"/>
  <c r="Q12" i="13"/>
  <c r="O15" i="13"/>
  <c r="I16" i="13"/>
  <c r="G22" i="13"/>
  <c r="W22" i="13"/>
  <c r="Q23" i="13"/>
  <c r="O26" i="13"/>
  <c r="I27" i="13"/>
  <c r="G29" i="13"/>
  <c r="W29" i="13"/>
  <c r="Q30" i="13"/>
  <c r="O17" i="13"/>
  <c r="I31" i="13"/>
  <c r="O5" i="13"/>
  <c r="G10" i="13"/>
  <c r="W10" i="13"/>
  <c r="O12" i="13"/>
  <c r="G16" i="13"/>
  <c r="W16" i="13"/>
  <c r="O23" i="13"/>
  <c r="G27" i="13"/>
  <c r="W27" i="13"/>
  <c r="O30" i="13"/>
  <c r="W31" i="13"/>
  <c r="G7" i="13"/>
  <c r="W7" i="13"/>
  <c r="Q8" i="13"/>
  <c r="O9" i="13"/>
  <c r="I13" i="13"/>
  <c r="G14" i="13"/>
  <c r="W14" i="13"/>
  <c r="Q15" i="13"/>
  <c r="O21" i="13"/>
  <c r="I22" i="13"/>
  <c r="G25" i="13"/>
  <c r="W25" i="13"/>
  <c r="Q26" i="13"/>
  <c r="O28" i="13"/>
  <c r="I29" i="13"/>
  <c r="Q17" i="13"/>
  <c r="G31" i="13"/>
  <c r="O6" i="13"/>
  <c r="I7" i="13"/>
  <c r="G11" i="13"/>
  <c r="W11" i="13"/>
  <c r="Q9" i="13"/>
  <c r="O18" i="13"/>
  <c r="I14" i="13"/>
  <c r="G20" i="13"/>
  <c r="W20" i="13"/>
  <c r="Q21" i="13"/>
  <c r="G19" i="13"/>
  <c r="W19" i="13"/>
  <c r="G12" i="11"/>
  <c r="I4" i="11"/>
  <c r="K20" i="10"/>
  <c r="K17" i="10"/>
  <c r="K19" i="10"/>
  <c r="K16" i="10"/>
  <c r="L14" i="5"/>
  <c r="I14" i="5"/>
  <c r="L10" i="5"/>
  <c r="I10" i="5"/>
  <c r="L12" i="5"/>
  <c r="F12" i="5" s="1"/>
  <c r="I13" i="5"/>
  <c r="F13" i="5" s="1"/>
  <c r="K57" i="4"/>
  <c r="K28" i="4"/>
  <c r="Q41" i="4"/>
  <c r="Q56" i="4"/>
  <c r="Q37" i="4"/>
  <c r="Q42" i="4"/>
  <c r="Q48" i="4"/>
  <c r="Q46" i="4"/>
  <c r="Q8" i="4"/>
  <c r="Q58" i="4"/>
  <c r="Q66" i="4"/>
  <c r="Q38" i="4"/>
  <c r="Q68" i="4"/>
  <c r="Q30" i="4"/>
  <c r="Q14" i="4"/>
  <c r="Q71" i="4"/>
  <c r="Q54" i="4"/>
  <c r="Q35" i="4"/>
  <c r="Q12" i="4"/>
  <c r="Q53" i="4"/>
  <c r="C50" i="4"/>
  <c r="S33" i="4"/>
  <c r="S61" i="4"/>
  <c r="I71" i="4"/>
  <c r="I40" i="4"/>
  <c r="I37" i="4"/>
  <c r="I58" i="4"/>
  <c r="I65" i="4"/>
  <c r="I19" i="4"/>
  <c r="I56" i="4"/>
  <c r="I5" i="4"/>
  <c r="I13" i="4"/>
  <c r="I44" i="4"/>
  <c r="I47" i="4"/>
  <c r="I9" i="4"/>
  <c r="Q25" i="4"/>
  <c r="Q16" i="4"/>
  <c r="G8" i="4"/>
  <c r="U12" i="4"/>
  <c r="G11" i="4"/>
  <c r="O11" i="4"/>
  <c r="G25" i="4"/>
  <c r="O23" i="4"/>
  <c r="O30" i="4"/>
  <c r="U37" i="4"/>
  <c r="O55" i="4"/>
  <c r="O57" i="4"/>
  <c r="O69" i="4"/>
  <c r="G42" i="4"/>
  <c r="O52" i="4"/>
  <c r="U42" i="4"/>
  <c r="U67" i="4"/>
  <c r="U18" i="4"/>
  <c r="U60" i="4"/>
  <c r="U33" i="4"/>
  <c r="U27" i="4"/>
  <c r="U73" i="4"/>
  <c r="U69" i="4"/>
  <c r="U21" i="4"/>
  <c r="U63" i="4"/>
  <c r="U55" i="4"/>
  <c r="U43" i="4"/>
  <c r="U40" i="4"/>
  <c r="U49" i="4"/>
  <c r="U58" i="4"/>
  <c r="U48" i="4"/>
  <c r="U53" i="4"/>
  <c r="U39" i="4"/>
  <c r="U34" i="4"/>
  <c r="U32" i="4"/>
  <c r="U26" i="4"/>
  <c r="U46" i="4"/>
  <c r="U71" i="4"/>
  <c r="U70" i="4"/>
  <c r="U8" i="4"/>
  <c r="G7" i="4"/>
  <c r="O7" i="4"/>
  <c r="U19" i="4"/>
  <c r="G16" i="4"/>
  <c r="O16" i="4"/>
  <c r="G17" i="4"/>
  <c r="G20" i="4"/>
  <c r="Q23" i="4"/>
  <c r="U47" i="4"/>
  <c r="G44" i="4"/>
  <c r="Q57" i="4"/>
  <c r="G61" i="4"/>
  <c r="O18" i="4"/>
  <c r="G38" i="4"/>
  <c r="O31" i="4"/>
  <c r="G64" i="4"/>
  <c r="O21" i="4"/>
  <c r="G65" i="4"/>
  <c r="O67" i="4"/>
  <c r="O68" i="4"/>
  <c r="U72" i="4"/>
  <c r="U10" i="4"/>
  <c r="U15" i="4"/>
  <c r="U24" i="4"/>
  <c r="I20" i="4"/>
  <c r="U20" i="4"/>
  <c r="G26" i="4"/>
  <c r="O26" i="4"/>
  <c r="O22" i="4"/>
  <c r="G29" i="4"/>
  <c r="O32" i="4"/>
  <c r="G35" i="4"/>
  <c r="W47" i="4"/>
  <c r="G54" i="4"/>
  <c r="O60" i="4"/>
  <c r="O49" i="4"/>
  <c r="U50" i="4"/>
  <c r="U62" i="4"/>
  <c r="U28" i="4"/>
  <c r="O38" i="4"/>
  <c r="U64" i="4"/>
  <c r="O66" i="4"/>
  <c r="W67" i="4"/>
  <c r="O70" i="4"/>
  <c r="G69" i="4"/>
  <c r="G67" i="4"/>
  <c r="G63" i="4"/>
  <c r="G55" i="4"/>
  <c r="G45" i="4"/>
  <c r="G49" i="4"/>
  <c r="G71" i="4"/>
  <c r="G70" i="4"/>
  <c r="G40" i="4"/>
  <c r="G18" i="4"/>
  <c r="G28" i="4"/>
  <c r="G60" i="4"/>
  <c r="G48" i="4"/>
  <c r="G68" i="4"/>
  <c r="G66" i="4"/>
  <c r="O65" i="4"/>
  <c r="O61" i="4"/>
  <c r="O41" i="4"/>
  <c r="O59" i="4"/>
  <c r="O56" i="4"/>
  <c r="O54" i="4"/>
  <c r="O47" i="4"/>
  <c r="O51" i="4"/>
  <c r="O50" i="4"/>
  <c r="O44" i="4"/>
  <c r="O42" i="4"/>
  <c r="W69" i="4"/>
  <c r="W63" i="4"/>
  <c r="W43" i="4"/>
  <c r="W40" i="4"/>
  <c r="W49" i="4"/>
  <c r="W58" i="4"/>
  <c r="W34" i="4"/>
  <c r="W46" i="4"/>
  <c r="W71" i="4"/>
  <c r="W35" i="4"/>
  <c r="W52" i="4"/>
  <c r="W68" i="4"/>
  <c r="U9" i="4"/>
  <c r="Q22" i="4"/>
  <c r="U25" i="4"/>
  <c r="U23" i="4"/>
  <c r="G30" i="4"/>
  <c r="I29" i="4"/>
  <c r="U29" i="4"/>
  <c r="G32" i="4"/>
  <c r="O36" i="4"/>
  <c r="U35" i="4"/>
  <c r="W33" i="4"/>
  <c r="O39" i="4"/>
  <c r="O53" i="4"/>
  <c r="U54" i="4"/>
  <c r="U57" i="4"/>
  <c r="O58" i="4"/>
  <c r="W50" i="4"/>
  <c r="W62" i="4"/>
  <c r="G31" i="4"/>
  <c r="W64" i="4"/>
  <c r="Q45" i="4"/>
  <c r="G41" i="4"/>
  <c r="U51" i="4"/>
  <c r="U52" i="4"/>
  <c r="Q5" i="4"/>
  <c r="U6" i="4"/>
  <c r="U14" i="4"/>
  <c r="W24" i="4"/>
  <c r="G22" i="4"/>
  <c r="W27" i="4"/>
  <c r="O34" i="4"/>
  <c r="W54" i="4"/>
  <c r="G56" i="4"/>
  <c r="G57" i="4"/>
  <c r="W57" i="4"/>
  <c r="U59" i="4"/>
  <c r="I31" i="4"/>
  <c r="U31" i="4"/>
  <c r="U65" i="4"/>
  <c r="U68" i="4"/>
  <c r="W51" i="4"/>
  <c r="W42" i="4"/>
  <c r="U11" i="4"/>
  <c r="U17" i="4"/>
  <c r="I22" i="4"/>
  <c r="W25" i="4"/>
  <c r="U30" i="4"/>
  <c r="G34" i="4"/>
  <c r="W59" i="4"/>
  <c r="U61" i="4"/>
  <c r="W65" i="4"/>
  <c r="U66" i="4"/>
  <c r="U45" i="4"/>
  <c r="G51" i="4"/>
  <c r="O46" i="4"/>
  <c r="W6" i="4"/>
  <c r="U7" i="4"/>
  <c r="G9" i="4"/>
  <c r="O9" i="4"/>
  <c r="U16" i="4"/>
  <c r="G15" i="4"/>
  <c r="U22" i="4"/>
  <c r="O25" i="4"/>
  <c r="O35" i="4"/>
  <c r="O33" i="4"/>
  <c r="G53" i="4"/>
  <c r="O48" i="4"/>
  <c r="W60" i="4"/>
  <c r="W61" i="4"/>
  <c r="G50" i="4"/>
  <c r="G62" i="4"/>
  <c r="U38" i="4"/>
  <c r="W31" i="4"/>
  <c r="O64" i="4"/>
  <c r="G21" i="4"/>
  <c r="W21" i="4"/>
  <c r="W45" i="4"/>
  <c r="U41" i="4"/>
  <c r="O72" i="4"/>
  <c r="U5" i="4"/>
  <c r="G6" i="4"/>
  <c r="O6" i="4"/>
  <c r="U13" i="4"/>
  <c r="W17" i="4"/>
  <c r="W26" i="4"/>
  <c r="W32" i="4"/>
  <c r="U36" i="4"/>
  <c r="G47" i="4"/>
  <c r="U44" i="4"/>
  <c r="G58" i="4"/>
  <c r="G59" i="4"/>
  <c r="O62" i="4"/>
  <c r="O63" i="4"/>
  <c r="O40" i="4"/>
  <c r="I21" i="4"/>
  <c r="W41" i="4"/>
  <c r="O71" i="4"/>
  <c r="Q72" i="4"/>
  <c r="O73" i="4"/>
  <c r="I16" i="6"/>
  <c r="E19" i="6"/>
  <c r="E18" i="6"/>
  <c r="E17" i="6"/>
  <c r="E16" i="6" s="1"/>
  <c r="E22" i="6"/>
  <c r="E24" i="6"/>
  <c r="E20" i="6"/>
  <c r="E7" i="6"/>
  <c r="G10" i="6"/>
  <c r="G7" i="6"/>
  <c r="I10" i="6"/>
  <c r="E12" i="6"/>
  <c r="G5" i="6"/>
  <c r="E10" i="6"/>
  <c r="G13" i="6"/>
  <c r="I20" i="6"/>
  <c r="I21" i="6"/>
  <c r="I22" i="6"/>
  <c r="I23" i="6"/>
  <c r="I25" i="6"/>
  <c r="E6" i="6"/>
  <c r="K7" i="6"/>
  <c r="G9" i="6"/>
  <c r="C11" i="6"/>
  <c r="I12" i="6"/>
  <c r="C16" i="6"/>
  <c r="C17" i="6"/>
  <c r="C18" i="6"/>
  <c r="E8" i="6"/>
  <c r="E4" i="6"/>
  <c r="E5" i="6"/>
  <c r="E13" i="6"/>
  <c r="E9" i="6"/>
  <c r="G12" i="6"/>
  <c r="C4" i="6"/>
  <c r="K4" i="6"/>
  <c r="I5" i="7"/>
  <c r="K5" i="7"/>
  <c r="M5" i="7"/>
  <c r="O5" i="7"/>
  <c r="C18" i="8"/>
  <c r="K22" i="8"/>
  <c r="K7" i="8"/>
  <c r="C11" i="8"/>
  <c r="I13" i="8"/>
  <c r="C20" i="8"/>
  <c r="E23" i="8"/>
  <c r="I9" i="8"/>
  <c r="K13" i="8"/>
  <c r="C17" i="8"/>
  <c r="E20" i="8"/>
  <c r="K21" i="8"/>
  <c r="C24" i="8"/>
  <c r="I10" i="8"/>
  <c r="C12" i="8"/>
  <c r="E5" i="8"/>
  <c r="K6" i="8"/>
  <c r="G8" i="8"/>
  <c r="C10" i="8"/>
  <c r="I11" i="8"/>
  <c r="E12" i="8"/>
  <c r="G17" i="8"/>
  <c r="C19" i="8"/>
  <c r="I20" i="8"/>
  <c r="E22" i="8"/>
  <c r="K23" i="8"/>
  <c r="G24" i="8"/>
  <c r="C23" i="8"/>
  <c r="C8" i="8"/>
  <c r="I6" i="8"/>
  <c r="K9" i="8"/>
  <c r="E17" i="8"/>
  <c r="K18" i="8"/>
  <c r="E24" i="8"/>
  <c r="G5" i="8"/>
  <c r="C7" i="8"/>
  <c r="I8" i="8"/>
  <c r="E10" i="8"/>
  <c r="K11" i="8"/>
  <c r="G12" i="8"/>
  <c r="I17" i="8"/>
  <c r="E19" i="8"/>
  <c r="K20" i="8"/>
  <c r="G22" i="8"/>
  <c r="C25" i="8"/>
  <c r="I24" i="8"/>
  <c r="I7" i="8"/>
  <c r="C5" i="8"/>
  <c r="C22" i="8"/>
  <c r="I5" i="8"/>
  <c r="K17" i="8"/>
  <c r="U5" i="9"/>
  <c r="I14" i="9"/>
  <c r="U14" i="9"/>
  <c r="E5" i="9"/>
  <c r="Q17" i="9"/>
  <c r="I5" i="9"/>
  <c r="M5" i="9"/>
  <c r="Q19" i="9"/>
  <c r="Q5" i="9"/>
  <c r="E14" i="9"/>
  <c r="Q16" i="9"/>
  <c r="Q18" i="15" l="1"/>
  <c r="Q15" i="15"/>
  <c r="Q16" i="15"/>
  <c r="M18" i="15"/>
  <c r="G18" i="16"/>
  <c r="G16" i="16"/>
  <c r="G19" i="16"/>
  <c r="G20" i="16"/>
  <c r="G15" i="16" s="1"/>
  <c r="G22" i="16"/>
  <c r="G21" i="16"/>
  <c r="K15" i="16"/>
  <c r="G4" i="12"/>
  <c r="C14" i="10"/>
  <c r="K4" i="12"/>
  <c r="W66" i="4"/>
  <c r="W39" i="4"/>
  <c r="W73" i="4"/>
  <c r="I59" i="4"/>
  <c r="I15" i="4"/>
  <c r="I14" i="15"/>
  <c r="E14" i="15"/>
  <c r="I11" i="14"/>
  <c r="W14" i="4"/>
  <c r="W20" i="4"/>
  <c r="W30" i="4"/>
  <c r="W38" i="4"/>
  <c r="I54" i="4"/>
  <c r="I68" i="4"/>
  <c r="G14" i="27"/>
  <c r="G12" i="27" s="1"/>
  <c r="U5" i="15"/>
  <c r="O13" i="4"/>
  <c r="E4" i="14"/>
  <c r="I14" i="12"/>
  <c r="G14" i="12"/>
  <c r="I4" i="12"/>
  <c r="E14" i="12"/>
  <c r="C14" i="12"/>
  <c r="K14" i="12"/>
  <c r="I4" i="10"/>
  <c r="K4" i="10"/>
  <c r="E14" i="10"/>
  <c r="I14" i="10"/>
  <c r="G4" i="8"/>
  <c r="C25" i="7"/>
  <c r="C29" i="7"/>
  <c r="G4" i="7"/>
  <c r="C10" i="7"/>
  <c r="C35" i="7"/>
  <c r="C50" i="7"/>
  <c r="C49" i="7"/>
  <c r="C9" i="7"/>
  <c r="C8" i="7"/>
  <c r="C20" i="7"/>
  <c r="C51" i="7"/>
  <c r="C48" i="7"/>
  <c r="C11" i="7"/>
  <c r="C16" i="7"/>
  <c r="C21" i="7"/>
  <c r="C38" i="7"/>
  <c r="C42" i="7"/>
  <c r="C15" i="7"/>
  <c r="C18" i="7"/>
  <c r="C17" i="7"/>
  <c r="C28" i="7"/>
  <c r="C52" i="7"/>
  <c r="C37" i="7"/>
  <c r="C13" i="7"/>
  <c r="C39" i="7"/>
  <c r="C12" i="7"/>
  <c r="C22" i="7"/>
  <c r="C33" i="7"/>
  <c r="C46" i="7"/>
  <c r="C5" i="7"/>
  <c r="C45" i="7"/>
  <c r="C31" i="7"/>
  <c r="C19" i="7"/>
  <c r="C30" i="7"/>
  <c r="C44" i="7"/>
  <c r="E4" i="7"/>
  <c r="C47" i="7"/>
  <c r="C26" i="7"/>
  <c r="C36" i="7"/>
  <c r="C27" i="7"/>
  <c r="C34" i="7"/>
  <c r="C6" i="7"/>
  <c r="C24" i="7"/>
  <c r="C43" i="7"/>
  <c r="C40" i="7"/>
  <c r="C24" i="4"/>
  <c r="C55" i="4"/>
  <c r="C45" i="4"/>
  <c r="S10" i="4"/>
  <c r="M50" i="4"/>
  <c r="M63" i="4"/>
  <c r="M17" i="4"/>
  <c r="M18" i="4"/>
  <c r="M46" i="4"/>
  <c r="M44" i="4"/>
  <c r="M36" i="4"/>
  <c r="M47" i="4"/>
  <c r="M43" i="4"/>
  <c r="Q29" i="4"/>
  <c r="W5" i="4"/>
  <c r="W44" i="4"/>
  <c r="Q20" i="4"/>
  <c r="I32" i="4"/>
  <c r="I39" i="4"/>
  <c r="I53" i="4"/>
  <c r="I42" i="4"/>
  <c r="I72" i="4"/>
  <c r="I55" i="4"/>
  <c r="I67" i="4"/>
  <c r="I23" i="4"/>
  <c r="I36" i="4"/>
  <c r="I70" i="4"/>
  <c r="Q32" i="4"/>
  <c r="Q9" i="4"/>
  <c r="Q6" i="4"/>
  <c r="Q65" i="4"/>
  <c r="Q21" i="4"/>
  <c r="Q13" i="4"/>
  <c r="Q24" i="4"/>
  <c r="Q36" i="4"/>
  <c r="Q59" i="4"/>
  <c r="M69" i="4"/>
  <c r="M29" i="4"/>
  <c r="M72" i="4"/>
  <c r="Q31" i="4"/>
  <c r="Q51" i="4"/>
  <c r="W56" i="4"/>
  <c r="M22" i="4"/>
  <c r="W13" i="4"/>
  <c r="M65" i="4"/>
  <c r="M67" i="4"/>
  <c r="W36" i="4"/>
  <c r="Q10" i="4"/>
  <c r="I17" i="4"/>
  <c r="I6" i="4"/>
  <c r="I61" i="4"/>
  <c r="I26" i="4"/>
  <c r="I57" i="4"/>
  <c r="I24" i="4"/>
  <c r="I62" i="4"/>
  <c r="I48" i="4"/>
  <c r="I49" i="4"/>
  <c r="Q60" i="4"/>
  <c r="Q62" i="4"/>
  <c r="Q55" i="4"/>
  <c r="Q61" i="4"/>
  <c r="Q70" i="4"/>
  <c r="Q19" i="4"/>
  <c r="Q69" i="4"/>
  <c r="Q44" i="4"/>
  <c r="I27" i="4"/>
  <c r="M28" i="4"/>
  <c r="M32" i="4"/>
  <c r="M27" i="4"/>
  <c r="M38" i="4"/>
  <c r="Q28" i="4"/>
  <c r="I12" i="4"/>
  <c r="I30" i="4"/>
  <c r="I14" i="4"/>
  <c r="I64" i="4"/>
  <c r="I63" i="4"/>
  <c r="I69" i="4"/>
  <c r="I34" i="4"/>
  <c r="I38" i="4"/>
  <c r="I60" i="4"/>
  <c r="I45" i="4"/>
  <c r="Q39" i="4"/>
  <c r="Q63" i="4"/>
  <c r="Q52" i="4"/>
  <c r="Q49" i="4"/>
  <c r="Q43" i="4"/>
  <c r="Q34" i="4"/>
  <c r="Q73" i="4"/>
  <c r="Q50" i="4"/>
  <c r="Q15" i="4"/>
  <c r="M55" i="4"/>
  <c r="M48" i="4"/>
  <c r="I28" i="4"/>
  <c r="W70" i="4"/>
  <c r="W48" i="4"/>
  <c r="W55" i="4"/>
  <c r="M53" i="4"/>
  <c r="M19" i="4"/>
  <c r="M52" i="4"/>
  <c r="W15" i="4"/>
  <c r="Q7" i="4"/>
  <c r="Q11" i="4"/>
  <c r="I33" i="4"/>
  <c r="I35" i="4"/>
  <c r="I41" i="4"/>
  <c r="I8" i="4"/>
  <c r="I50" i="4"/>
  <c r="I66" i="4"/>
  <c r="I18" i="4"/>
  <c r="Q27" i="4"/>
  <c r="Q33" i="4"/>
  <c r="Q40" i="4"/>
  <c r="Q17" i="4"/>
  <c r="Q18" i="4"/>
  <c r="Q26" i="4"/>
  <c r="Q47" i="4"/>
  <c r="Q67" i="4"/>
  <c r="E11" i="4"/>
  <c r="E40" i="4"/>
  <c r="E8" i="4"/>
  <c r="E13" i="4"/>
  <c r="E25" i="4"/>
  <c r="E7" i="4"/>
  <c r="E45" i="4"/>
  <c r="E50" i="4"/>
  <c r="E27" i="4"/>
  <c r="E19" i="4"/>
  <c r="E31" i="4"/>
  <c r="E32" i="4"/>
  <c r="E12" i="4"/>
  <c r="E49" i="4"/>
  <c r="E69" i="4"/>
  <c r="E26" i="4"/>
  <c r="K41" i="4"/>
  <c r="E21" i="4"/>
  <c r="E5" i="4"/>
  <c r="E52" i="4"/>
  <c r="E48" i="4"/>
  <c r="E47" i="4"/>
  <c r="E62" i="4"/>
  <c r="E9" i="4"/>
  <c r="E37" i="4"/>
  <c r="E71" i="4"/>
  <c r="E18" i="4"/>
  <c r="E59" i="4"/>
  <c r="E53" i="4"/>
  <c r="E57" i="4"/>
  <c r="E41" i="4"/>
  <c r="E36" i="4"/>
  <c r="E66" i="4"/>
  <c r="E54" i="4"/>
  <c r="E64" i="4"/>
  <c r="E39" i="4"/>
  <c r="E61" i="4"/>
  <c r="K43" i="4"/>
  <c r="K21" i="4"/>
  <c r="E24" i="4"/>
  <c r="E10" i="4"/>
  <c r="E46" i="4"/>
  <c r="E67" i="4"/>
  <c r="E44" i="4"/>
  <c r="E73" i="4"/>
  <c r="E58" i="4"/>
  <c r="E56" i="4"/>
  <c r="E28" i="4"/>
  <c r="E30" i="4"/>
  <c r="E34" i="4"/>
  <c r="E51" i="4"/>
  <c r="E29" i="4"/>
  <c r="K27" i="4"/>
  <c r="K40" i="4"/>
  <c r="E14" i="4"/>
  <c r="E68" i="4"/>
  <c r="E17" i="4"/>
  <c r="E55" i="4"/>
  <c r="E72" i="4"/>
  <c r="E65" i="4"/>
  <c r="E6" i="4"/>
  <c r="E60" i="4"/>
  <c r="E16" i="4"/>
  <c r="E15" i="4"/>
  <c r="E33" i="4"/>
  <c r="E35" i="4"/>
  <c r="E23" i="4"/>
  <c r="E70" i="4"/>
  <c r="E63" i="4"/>
  <c r="E42" i="4"/>
  <c r="E38" i="4"/>
  <c r="K5" i="4"/>
  <c r="E20" i="4"/>
  <c r="E22" i="4"/>
  <c r="M57" i="4"/>
  <c r="M30" i="4"/>
  <c r="M73" i="4"/>
  <c r="M64" i="4"/>
  <c r="M54" i="4"/>
  <c r="M25" i="4"/>
  <c r="M12" i="4"/>
  <c r="M41" i="4"/>
  <c r="M62" i="4"/>
  <c r="S27" i="4"/>
  <c r="C72" i="4"/>
  <c r="I10" i="4"/>
  <c r="I25" i="4"/>
  <c r="M71" i="4"/>
  <c r="M40" i="4"/>
  <c r="M23" i="4"/>
  <c r="M33" i="4"/>
  <c r="M42" i="4"/>
  <c r="M59" i="4"/>
  <c r="M70" i="4"/>
  <c r="M49" i="4"/>
  <c r="M51" i="4"/>
  <c r="M34" i="4"/>
  <c r="M21" i="4"/>
  <c r="C47" i="4"/>
  <c r="S17" i="4"/>
  <c r="C28" i="4"/>
  <c r="I11" i="4"/>
  <c r="M11" i="4"/>
  <c r="M9" i="4"/>
  <c r="M35" i="4"/>
  <c r="M39" i="4"/>
  <c r="M66" i="4"/>
  <c r="C8" i="4"/>
  <c r="C5" i="4"/>
  <c r="M31" i="4"/>
  <c r="S29" i="4"/>
  <c r="M8" i="4"/>
  <c r="M60" i="4"/>
  <c r="M56" i="4"/>
  <c r="M61" i="4"/>
  <c r="M68" i="4"/>
  <c r="M26" i="4"/>
  <c r="S14" i="4"/>
  <c r="C61" i="4"/>
  <c r="S7" i="4"/>
  <c r="C53" i="4"/>
  <c r="C25" i="4"/>
  <c r="C32" i="4"/>
  <c r="C22" i="4"/>
  <c r="C41" i="4"/>
  <c r="C62" i="4"/>
  <c r="C13" i="4"/>
  <c r="C49" i="4"/>
  <c r="C63" i="4"/>
  <c r="C42" i="4"/>
  <c r="C31" i="4"/>
  <c r="C33" i="4"/>
  <c r="C34" i="4"/>
  <c r="C19" i="4"/>
  <c r="C36" i="4"/>
  <c r="C15" i="4"/>
  <c r="C40" i="4"/>
  <c r="C17" i="4"/>
  <c r="C38" i="4"/>
  <c r="C67" i="4"/>
  <c r="C35" i="4"/>
  <c r="C21" i="4"/>
  <c r="C16" i="4"/>
  <c r="C29" i="4"/>
  <c r="C6" i="4"/>
  <c r="C66" i="4"/>
  <c r="C37" i="4"/>
  <c r="C27" i="4"/>
  <c r="C58" i="4"/>
  <c r="C26" i="4"/>
  <c r="C65" i="4"/>
  <c r="C69" i="4"/>
  <c r="C44" i="4"/>
  <c r="I51" i="4"/>
  <c r="C14" i="4"/>
  <c r="C70" i="4"/>
  <c r="C48" i="4"/>
  <c r="C56" i="4"/>
  <c r="C18" i="4"/>
  <c r="C60" i="4"/>
  <c r="C68" i="4"/>
  <c r="C39" i="4"/>
  <c r="C54" i="4"/>
  <c r="C20" i="4"/>
  <c r="C11" i="4"/>
  <c r="C12" i="4"/>
  <c r="C10" i="4"/>
  <c r="C57" i="4"/>
  <c r="C71" i="4"/>
  <c r="C23" i="4"/>
  <c r="C51" i="4"/>
  <c r="C59" i="4"/>
  <c r="C64" i="4"/>
  <c r="S47" i="4"/>
  <c r="K29" i="4"/>
  <c r="S31" i="4"/>
  <c r="K53" i="4"/>
  <c r="K22" i="4"/>
  <c r="S19" i="4"/>
  <c r="S40" i="4"/>
  <c r="S15" i="4"/>
  <c r="S51" i="4"/>
  <c r="S49" i="4"/>
  <c r="S5" i="4"/>
  <c r="S37" i="4"/>
  <c r="S43" i="4"/>
  <c r="S60" i="4"/>
  <c r="K39" i="4"/>
  <c r="K10" i="4"/>
  <c r="K42" i="4"/>
  <c r="K72" i="4"/>
  <c r="K13" i="4"/>
  <c r="K61" i="4"/>
  <c r="K66" i="4"/>
  <c r="K70" i="4"/>
  <c r="S39" i="4"/>
  <c r="K11" i="4"/>
  <c r="K25" i="4"/>
  <c r="K23" i="4"/>
  <c r="K20" i="4"/>
  <c r="S23" i="4"/>
  <c r="K58" i="4"/>
  <c r="K17" i="4"/>
  <c r="S11" i="4"/>
  <c r="S38" i="4"/>
  <c r="S12" i="4"/>
  <c r="S24" i="4"/>
  <c r="S52" i="4"/>
  <c r="S66" i="4"/>
  <c r="S13" i="4"/>
  <c r="S53" i="4"/>
  <c r="S55" i="4"/>
  <c r="S18" i="4"/>
  <c r="S16" i="4"/>
  <c r="K37" i="4"/>
  <c r="K15" i="4"/>
  <c r="K47" i="4"/>
  <c r="K63" i="4"/>
  <c r="K26" i="4"/>
  <c r="K69" i="4"/>
  <c r="K65" i="4"/>
  <c r="K68" i="4"/>
  <c r="K71" i="4"/>
  <c r="S54" i="4"/>
  <c r="S35" i="4"/>
  <c r="M58" i="4"/>
  <c r="S45" i="4"/>
  <c r="K35" i="4"/>
  <c r="S34" i="4"/>
  <c r="S32" i="4"/>
  <c r="S62" i="4"/>
  <c r="S59" i="4"/>
  <c r="S70" i="4"/>
  <c r="S26" i="4"/>
  <c r="S56" i="4"/>
  <c r="S63" i="4"/>
  <c r="S67" i="4"/>
  <c r="K49" i="4"/>
  <c r="K24" i="4"/>
  <c r="K44" i="4"/>
  <c r="K30" i="4"/>
  <c r="K36" i="4"/>
  <c r="K33" i="4"/>
  <c r="K52" i="4"/>
  <c r="S9" i="4"/>
  <c r="M16" i="4"/>
  <c r="M37" i="4"/>
  <c r="K31" i="4"/>
  <c r="S6" i="4"/>
  <c r="S57" i="4"/>
  <c r="S28" i="4"/>
  <c r="K9" i="4"/>
  <c r="S48" i="4"/>
  <c r="S64" i="4"/>
  <c r="S65" i="4"/>
  <c r="S58" i="4"/>
  <c r="S36" i="4"/>
  <c r="S69" i="4"/>
  <c r="S42" i="4"/>
  <c r="K14" i="4"/>
  <c r="K50" i="4"/>
  <c r="K34" i="4"/>
  <c r="K48" i="4"/>
  <c r="K55" i="4"/>
  <c r="K67" i="4"/>
  <c r="K62" i="4"/>
  <c r="K60" i="4"/>
  <c r="K46" i="4"/>
  <c r="S30" i="4"/>
  <c r="K19" i="4"/>
  <c r="M14" i="4"/>
  <c r="S21" i="4"/>
  <c r="K6" i="4"/>
  <c r="S20" i="4"/>
  <c r="S25" i="4"/>
  <c r="S8" i="4"/>
  <c r="S72" i="4"/>
  <c r="S71" i="4"/>
  <c r="S68" i="4"/>
  <c r="S41" i="4"/>
  <c r="S44" i="4"/>
  <c r="S46" i="4"/>
  <c r="S73" i="4"/>
  <c r="S50" i="4"/>
  <c r="K32" i="4"/>
  <c r="K12" i="4"/>
  <c r="K51" i="4"/>
  <c r="K59" i="4"/>
  <c r="K54" i="4"/>
  <c r="K73" i="4"/>
  <c r="K56" i="4"/>
  <c r="K45" i="4"/>
  <c r="K38" i="4"/>
  <c r="K18" i="4"/>
  <c r="W23" i="4"/>
  <c r="W11" i="4"/>
  <c r="W22" i="4"/>
  <c r="W19" i="4"/>
  <c r="W12" i="4"/>
  <c r="W18" i="4"/>
  <c r="K4" i="8"/>
  <c r="U14" i="15"/>
  <c r="K16" i="4"/>
  <c r="Q18" i="9"/>
  <c r="M5" i="4"/>
  <c r="G23" i="6"/>
  <c r="M7" i="4"/>
  <c r="W10" i="4"/>
  <c r="W28" i="4"/>
  <c r="M6" i="4"/>
  <c r="C7" i="7"/>
  <c r="C41" i="7"/>
  <c r="C8" i="18"/>
  <c r="O4" i="4"/>
  <c r="L9" i="5"/>
  <c r="F9" i="5" s="1"/>
  <c r="M17" i="15"/>
  <c r="K64" i="4"/>
  <c r="G21" i="6"/>
  <c r="G24" i="6"/>
  <c r="I52" i="4"/>
  <c r="I73" i="4"/>
  <c r="I43" i="4"/>
  <c r="I46" i="4"/>
  <c r="W7" i="4"/>
  <c r="E25" i="6"/>
  <c r="C19" i="18"/>
  <c r="K7" i="4"/>
  <c r="C23" i="7"/>
  <c r="C9" i="18"/>
  <c r="W9" i="4"/>
  <c r="G15" i="14"/>
  <c r="Q14" i="9"/>
  <c r="M15" i="15"/>
  <c r="G22" i="6"/>
  <c r="K4" i="14"/>
  <c r="I4" i="7"/>
  <c r="C12" i="18"/>
  <c r="G4" i="10"/>
  <c r="G14" i="14"/>
  <c r="C46" i="4"/>
  <c r="C52" i="4"/>
  <c r="C73" i="4"/>
  <c r="C43" i="4"/>
  <c r="O4" i="13"/>
  <c r="C30" i="4"/>
  <c r="C13" i="18"/>
  <c r="G20" i="6"/>
  <c r="M14" i="9"/>
  <c r="C11" i="18"/>
  <c r="W37" i="4"/>
  <c r="C32" i="7"/>
  <c r="W29" i="4"/>
  <c r="G12" i="14"/>
  <c r="M16" i="15"/>
  <c r="C14" i="18"/>
  <c r="C10" i="18"/>
  <c r="C16" i="18"/>
  <c r="C18" i="18"/>
  <c r="C15" i="18"/>
  <c r="C9" i="4"/>
  <c r="G18" i="6"/>
  <c r="G16" i="6" s="1"/>
  <c r="Q4" i="13"/>
  <c r="K4" i="13"/>
  <c r="M24" i="4"/>
  <c r="M15" i="4"/>
  <c r="M10" i="4"/>
  <c r="W16" i="4"/>
  <c r="M13" i="4"/>
  <c r="M20" i="4"/>
  <c r="W8" i="4"/>
  <c r="G4" i="4"/>
  <c r="I7" i="5"/>
  <c r="L7" i="5"/>
  <c r="L8" i="5"/>
  <c r="F8" i="5" s="1"/>
  <c r="I11" i="5"/>
  <c r="F11" i="5" s="1"/>
  <c r="I17" i="27"/>
  <c r="I16" i="27"/>
  <c r="I15" i="27"/>
  <c r="I14" i="27"/>
  <c r="I15" i="16"/>
  <c r="G4" i="16"/>
  <c r="E4" i="16"/>
  <c r="I4" i="16"/>
  <c r="K4" i="16"/>
  <c r="C4" i="16"/>
  <c r="E15" i="16"/>
  <c r="C15" i="16"/>
  <c r="C7" i="18"/>
  <c r="C6" i="18"/>
  <c r="C4" i="18"/>
  <c r="C5" i="18"/>
  <c r="C11" i="14"/>
  <c r="G11" i="14"/>
  <c r="C4" i="14"/>
  <c r="E4" i="13"/>
  <c r="C4" i="13"/>
  <c r="I4" i="13"/>
  <c r="S4" i="13"/>
  <c r="W4" i="13"/>
  <c r="U4" i="13"/>
  <c r="G4" i="13"/>
  <c r="M4" i="13"/>
  <c r="E4" i="12"/>
  <c r="C4" i="12"/>
  <c r="E12" i="11"/>
  <c r="C4" i="11"/>
  <c r="K14" i="10"/>
  <c r="F10" i="5"/>
  <c r="F14" i="5"/>
  <c r="U4" i="4"/>
  <c r="G4" i="6"/>
  <c r="M4" i="7"/>
  <c r="O4" i="7"/>
  <c r="K4" i="7"/>
  <c r="G16" i="8"/>
  <c r="C16" i="8"/>
  <c r="I16" i="8"/>
  <c r="K16" i="8"/>
  <c r="I4" i="8"/>
  <c r="C4" i="8"/>
  <c r="E16" i="8"/>
  <c r="E4" i="8"/>
  <c r="Q14" i="15" l="1"/>
  <c r="M14" i="15"/>
  <c r="F7" i="5"/>
  <c r="C4" i="7"/>
  <c r="Q4" i="4"/>
  <c r="E4" i="4"/>
  <c r="K4" i="4"/>
  <c r="I4" i="4"/>
  <c r="C4" i="4"/>
  <c r="S4" i="4"/>
  <c r="M4" i="4"/>
  <c r="W4" i="4"/>
  <c r="I12" i="27"/>
  <c r="H14" i="26" l="1"/>
  <c r="I21" i="26" s="1"/>
  <c r="F21" i="26"/>
  <c r="F20" i="26"/>
  <c r="F19" i="26"/>
  <c r="F18" i="26"/>
  <c r="F17" i="26"/>
  <c r="D14" i="26"/>
  <c r="E21" i="26" s="1"/>
  <c r="B14" i="26"/>
  <c r="C21" i="26" s="1"/>
  <c r="J4" i="26"/>
  <c r="K11" i="26" s="1"/>
  <c r="H4" i="26"/>
  <c r="I11" i="26" s="1"/>
  <c r="F4" i="26"/>
  <c r="G11" i="26" s="1"/>
  <c r="D4" i="26"/>
  <c r="E11" i="26" s="1"/>
  <c r="C6" i="26"/>
  <c r="B4" i="26"/>
  <c r="C11" i="26" s="1"/>
  <c r="J14" i="26"/>
  <c r="K21" i="26" s="1"/>
  <c r="R14" i="25"/>
  <c r="U19" i="25" s="1"/>
  <c r="S14" i="25"/>
  <c r="T14" i="25"/>
  <c r="I7" i="26" l="1"/>
  <c r="I18" i="26"/>
  <c r="I8" i="26"/>
  <c r="C7" i="26"/>
  <c r="C8" i="26"/>
  <c r="K5" i="26"/>
  <c r="G5" i="26"/>
  <c r="E15" i="26"/>
  <c r="G6" i="26"/>
  <c r="E16" i="26"/>
  <c r="G20" i="26"/>
  <c r="K10" i="26"/>
  <c r="G7" i="26"/>
  <c r="E17" i="26"/>
  <c r="K9" i="26"/>
  <c r="E5" i="26"/>
  <c r="G8" i="26"/>
  <c r="C15" i="26"/>
  <c r="E18" i="26"/>
  <c r="K8" i="26"/>
  <c r="E6" i="26"/>
  <c r="C16" i="26"/>
  <c r="F14" i="26"/>
  <c r="G17" i="26" s="1"/>
  <c r="I15" i="26"/>
  <c r="K7" i="26"/>
  <c r="E7" i="26"/>
  <c r="I5" i="26"/>
  <c r="C17" i="26"/>
  <c r="I16" i="26"/>
  <c r="K6" i="26"/>
  <c r="C5" i="26"/>
  <c r="E8" i="26"/>
  <c r="I6" i="26"/>
  <c r="C18" i="26"/>
  <c r="I17" i="26"/>
  <c r="K16" i="26"/>
  <c r="K18" i="26"/>
  <c r="K20" i="26"/>
  <c r="K19" i="26"/>
  <c r="K15" i="26"/>
  <c r="I19" i="26"/>
  <c r="I20" i="26"/>
  <c r="E19" i="26"/>
  <c r="E20" i="26"/>
  <c r="C19" i="26"/>
  <c r="C20" i="26"/>
  <c r="I9" i="26"/>
  <c r="I10" i="26"/>
  <c r="G9" i="26"/>
  <c r="G10" i="26"/>
  <c r="E9" i="26"/>
  <c r="E10" i="26"/>
  <c r="C9" i="26"/>
  <c r="C10" i="26"/>
  <c r="K17" i="26"/>
  <c r="U18" i="25"/>
  <c r="U16" i="25"/>
  <c r="U17" i="25"/>
  <c r="U15" i="25"/>
  <c r="N19" i="25"/>
  <c r="J19" i="25"/>
  <c r="F19" i="25"/>
  <c r="B19" i="25"/>
  <c r="R10" i="25"/>
  <c r="N18" i="25"/>
  <c r="J18" i="25"/>
  <c r="F18" i="25"/>
  <c r="B18" i="25"/>
  <c r="R9" i="25"/>
  <c r="N16" i="25"/>
  <c r="J16" i="25"/>
  <c r="F16" i="25"/>
  <c r="B16" i="25"/>
  <c r="R7" i="25"/>
  <c r="N17" i="25"/>
  <c r="J17" i="25"/>
  <c r="F17" i="25"/>
  <c r="B17" i="25"/>
  <c r="R8" i="25"/>
  <c r="N15" i="25"/>
  <c r="J15" i="25"/>
  <c r="F15" i="25"/>
  <c r="B15" i="25"/>
  <c r="R6" i="25"/>
  <c r="P14" i="25"/>
  <c r="O14" i="25"/>
  <c r="L14" i="25"/>
  <c r="K14" i="25"/>
  <c r="H14" i="25"/>
  <c r="G14" i="25"/>
  <c r="F14" i="25" s="1"/>
  <c r="D14" i="25"/>
  <c r="C14" i="25"/>
  <c r="T5" i="25"/>
  <c r="S5" i="25"/>
  <c r="N10" i="25"/>
  <c r="J10" i="25"/>
  <c r="F10" i="25"/>
  <c r="B10" i="25"/>
  <c r="N9" i="25"/>
  <c r="J9" i="25"/>
  <c r="F9" i="25"/>
  <c r="B9" i="25"/>
  <c r="N7" i="25"/>
  <c r="J7" i="25"/>
  <c r="F7" i="25"/>
  <c r="B7" i="25"/>
  <c r="N8" i="25"/>
  <c r="J8" i="25"/>
  <c r="F8" i="25"/>
  <c r="B8" i="25"/>
  <c r="N6" i="25"/>
  <c r="J6" i="25"/>
  <c r="F6" i="25"/>
  <c r="B6" i="25"/>
  <c r="P5" i="25"/>
  <c r="O5" i="25"/>
  <c r="L5" i="25"/>
  <c r="K5" i="25"/>
  <c r="J5" i="25" s="1"/>
  <c r="H5" i="25"/>
  <c r="G5" i="25"/>
  <c r="D5" i="25"/>
  <c r="C5" i="25"/>
  <c r="D14" i="19"/>
  <c r="E21" i="19" s="1"/>
  <c r="B14" i="19"/>
  <c r="B4" i="19"/>
  <c r="E33" i="3"/>
  <c r="E25" i="3"/>
  <c r="E5" i="3"/>
  <c r="E4" i="3" s="1"/>
  <c r="I14" i="2"/>
  <c r="H14" i="2"/>
  <c r="I12" i="2"/>
  <c r="H12" i="2"/>
  <c r="I11" i="2"/>
  <c r="H11" i="2"/>
  <c r="I10" i="2"/>
  <c r="H10" i="2"/>
  <c r="G10" i="2"/>
  <c r="C10" i="2" s="1"/>
  <c r="I9" i="2"/>
  <c r="H9" i="2"/>
  <c r="I8" i="2"/>
  <c r="H8" i="2"/>
  <c r="G8" i="2" s="1"/>
  <c r="C8" i="2" s="1"/>
  <c r="I7" i="2"/>
  <c r="H7" i="2"/>
  <c r="I6" i="2"/>
  <c r="H6" i="2"/>
  <c r="I5" i="2"/>
  <c r="H5" i="2"/>
  <c r="G5" i="2" s="1"/>
  <c r="C5" i="2" s="1"/>
  <c r="E28" i="1"/>
  <c r="E27" i="1"/>
  <c r="E26" i="1"/>
  <c r="E25" i="1"/>
  <c r="E24" i="1"/>
  <c r="E22" i="1"/>
  <c r="E21" i="1"/>
  <c r="E20" i="1"/>
  <c r="E19" i="1" s="1"/>
  <c r="E17" i="1"/>
  <c r="E15" i="1"/>
  <c r="E14" i="1"/>
  <c r="E13" i="1"/>
  <c r="E12" i="1"/>
  <c r="E10" i="1"/>
  <c r="E8" i="1"/>
  <c r="E7" i="1"/>
  <c r="G6" i="1"/>
  <c r="F6" i="1"/>
  <c r="E6" i="1" s="1"/>
  <c r="E5" i="1"/>
  <c r="E4" i="1"/>
  <c r="E3" i="1"/>
  <c r="G6" i="2" l="1"/>
  <c r="C6" i="2" s="1"/>
  <c r="G9" i="2"/>
  <c r="C9" i="2" s="1"/>
  <c r="G11" i="2"/>
  <c r="C11" i="2" s="1"/>
  <c r="E16" i="1"/>
  <c r="G12" i="2"/>
  <c r="C12" i="2" s="1"/>
  <c r="G7" i="2"/>
  <c r="C7" i="2" s="1"/>
  <c r="I14" i="26"/>
  <c r="K4" i="26"/>
  <c r="N5" i="25"/>
  <c r="U14" i="25"/>
  <c r="E4" i="26"/>
  <c r="G21" i="26"/>
  <c r="G16" i="26"/>
  <c r="G4" i="26"/>
  <c r="G15" i="26"/>
  <c r="G18" i="26"/>
  <c r="G19" i="26"/>
  <c r="C4" i="26"/>
  <c r="E9" i="1"/>
  <c r="G14" i="26" l="1"/>
  <c r="C5" i="19" l="1"/>
  <c r="C10" i="19"/>
  <c r="C9" i="19"/>
  <c r="C7" i="19"/>
  <c r="C6" i="19"/>
  <c r="C8" i="19"/>
  <c r="C21" i="19"/>
  <c r="E20" i="19"/>
  <c r="C20" i="19"/>
  <c r="F19" i="19"/>
  <c r="E19" i="19"/>
  <c r="C19" i="19"/>
  <c r="F18" i="19"/>
  <c r="E18" i="19"/>
  <c r="C18" i="19"/>
  <c r="F17" i="19"/>
  <c r="E17" i="19"/>
  <c r="C17" i="19"/>
  <c r="E16" i="19"/>
  <c r="C16" i="19"/>
  <c r="E15" i="19"/>
  <c r="C15" i="19"/>
  <c r="J14" i="19"/>
  <c r="K18" i="19" s="1"/>
  <c r="H14" i="19"/>
  <c r="I15" i="19" s="1"/>
  <c r="I17" i="19" l="1"/>
  <c r="K17" i="19"/>
  <c r="K15" i="19"/>
  <c r="I20" i="19"/>
  <c r="K20" i="19"/>
  <c r="F14" i="19"/>
  <c r="G18" i="19" s="1"/>
  <c r="G19" i="19"/>
  <c r="I19" i="19"/>
  <c r="D4" i="19"/>
  <c r="I16" i="19"/>
  <c r="K19" i="19"/>
  <c r="K16" i="19"/>
  <c r="C14" i="19"/>
  <c r="I18" i="19"/>
  <c r="E14" i="19"/>
  <c r="K14" i="26"/>
  <c r="E14" i="26"/>
  <c r="C14" i="26"/>
  <c r="I4" i="26"/>
  <c r="B5" i="25"/>
  <c r="E7" i="25" s="1"/>
  <c r="F5" i="25"/>
  <c r="I10" i="25" s="1"/>
  <c r="R5" i="25"/>
  <c r="U9" i="25" s="1"/>
  <c r="U7" i="25"/>
  <c r="B14" i="25"/>
  <c r="E15" i="25" s="1"/>
  <c r="M10" i="25"/>
  <c r="Q10" i="25"/>
  <c r="J14" i="25"/>
  <c r="M16" i="25" s="1"/>
  <c r="M6" i="25"/>
  <c r="M18" i="25"/>
  <c r="I18" i="25"/>
  <c r="I16" i="25"/>
  <c r="I15" i="25"/>
  <c r="I17" i="25"/>
  <c r="I19" i="25"/>
  <c r="Q7" i="25"/>
  <c r="Q8" i="25"/>
  <c r="Q6" i="25"/>
  <c r="Q9" i="25"/>
  <c r="M8" i="25"/>
  <c r="M7" i="25"/>
  <c r="M9" i="25"/>
  <c r="I7" i="25"/>
  <c r="N14" i="25"/>
  <c r="Q19" i="25" s="1"/>
  <c r="J16" i="22"/>
  <c r="K21" i="22" s="1"/>
  <c r="E6" i="25" l="1"/>
  <c r="E9" i="25"/>
  <c r="I6" i="25"/>
  <c r="K23" i="22"/>
  <c r="U6" i="25"/>
  <c r="E8" i="25"/>
  <c r="K22" i="22"/>
  <c r="E10" i="25"/>
  <c r="K20" i="22"/>
  <c r="K17" i="22"/>
  <c r="K16" i="22" s="1"/>
  <c r="K19" i="22"/>
  <c r="U8" i="25"/>
  <c r="G20" i="19"/>
  <c r="G15" i="19"/>
  <c r="G16" i="19"/>
  <c r="K18" i="22"/>
  <c r="I9" i="25"/>
  <c r="K25" i="22"/>
  <c r="I8" i="25"/>
  <c r="G17" i="19"/>
  <c r="K24" i="22"/>
  <c r="E10" i="19"/>
  <c r="E9" i="19"/>
  <c r="E7" i="19"/>
  <c r="E5" i="19"/>
  <c r="E8" i="19"/>
  <c r="E6" i="19"/>
  <c r="U10" i="25"/>
  <c r="M15" i="25"/>
  <c r="Q5" i="25"/>
  <c r="E17" i="25"/>
  <c r="E19" i="25"/>
  <c r="E18" i="25"/>
  <c r="I14" i="25"/>
  <c r="M5" i="25"/>
  <c r="E16" i="25"/>
  <c r="M19" i="25"/>
  <c r="Q15" i="25"/>
  <c r="Q18" i="25"/>
  <c r="M17" i="25"/>
  <c r="Q16" i="25"/>
  <c r="Q17" i="25"/>
  <c r="E5" i="25" l="1"/>
  <c r="U5" i="25"/>
  <c r="F4" i="19"/>
  <c r="M14" i="25"/>
  <c r="E14" i="25"/>
  <c r="Q14" i="25"/>
  <c r="I5" i="25"/>
  <c r="H16" i="22"/>
  <c r="F16" i="22"/>
  <c r="G22" i="22" s="1"/>
  <c r="D16" i="22"/>
  <c r="E19" i="22" s="1"/>
  <c r="B16" i="22"/>
  <c r="C24" i="22" s="1"/>
  <c r="J4" i="22"/>
  <c r="K9" i="22" s="1"/>
  <c r="H4" i="22"/>
  <c r="I8" i="22" s="1"/>
  <c r="F4" i="22"/>
  <c r="G13" i="22" s="1"/>
  <c r="D4" i="22"/>
  <c r="E13" i="22" s="1"/>
  <c r="B4" i="22"/>
  <c r="C7" i="22" s="1"/>
  <c r="R19" i="23"/>
  <c r="R20" i="23"/>
  <c r="R21" i="23"/>
  <c r="R22" i="23"/>
  <c r="R23" i="23"/>
  <c r="R18" i="23"/>
  <c r="R17" i="23"/>
  <c r="I25" i="22" l="1"/>
  <c r="I17" i="22"/>
  <c r="G18" i="22"/>
  <c r="G21" i="22"/>
  <c r="I22" i="22"/>
  <c r="H4" i="19"/>
  <c r="G23" i="22"/>
  <c r="G6" i="19"/>
  <c r="G5" i="19"/>
  <c r="G10" i="19"/>
  <c r="G8" i="19"/>
  <c r="G9" i="19"/>
  <c r="G7" i="19"/>
  <c r="C9" i="22"/>
  <c r="I13" i="22"/>
  <c r="G19" i="22"/>
  <c r="E4" i="22"/>
  <c r="G24" i="22"/>
  <c r="G16" i="22"/>
  <c r="E18" i="22"/>
  <c r="E23" i="22"/>
  <c r="C18" i="22"/>
  <c r="C23" i="22"/>
  <c r="E24" i="22"/>
  <c r="C21" i="22"/>
  <c r="E21" i="22"/>
  <c r="E20" i="22"/>
  <c r="K6" i="22"/>
  <c r="E9" i="22"/>
  <c r="I5" i="22"/>
  <c r="E10" i="22"/>
  <c r="I10" i="22"/>
  <c r="C6" i="22"/>
  <c r="C11" i="22"/>
  <c r="E6" i="22"/>
  <c r="E11" i="22"/>
  <c r="E7" i="22"/>
  <c r="C12" i="22"/>
  <c r="E8" i="22"/>
  <c r="E12" i="22"/>
  <c r="I19" i="22"/>
  <c r="I24" i="22"/>
  <c r="G7" i="22"/>
  <c r="G12" i="22"/>
  <c r="K8" i="22"/>
  <c r="C20" i="22"/>
  <c r="K13" i="22"/>
  <c r="C16" i="22"/>
  <c r="K10" i="22"/>
  <c r="G11" i="22"/>
  <c r="C13" i="22"/>
  <c r="E17" i="22"/>
  <c r="K7" i="22"/>
  <c r="G20" i="22"/>
  <c r="C22" i="22"/>
  <c r="I23" i="22"/>
  <c r="E25" i="22"/>
  <c r="I16" i="22"/>
  <c r="I12" i="22"/>
  <c r="K5" i="22"/>
  <c r="G6" i="22"/>
  <c r="I9" i="22"/>
  <c r="I18" i="22"/>
  <c r="C25" i="22"/>
  <c r="C4" i="22"/>
  <c r="C5" i="22"/>
  <c r="I6" i="22"/>
  <c r="E5" i="22"/>
  <c r="G8" i="22"/>
  <c r="C10" i="22"/>
  <c r="I11" i="22"/>
  <c r="E16" i="22"/>
  <c r="G17" i="22"/>
  <c r="C19" i="22"/>
  <c r="I20" i="22"/>
  <c r="E22" i="22"/>
  <c r="K12" i="22"/>
  <c r="G25" i="22"/>
  <c r="G10" i="22"/>
  <c r="G4" i="22"/>
  <c r="K11" i="22"/>
  <c r="I7" i="22"/>
  <c r="K4" i="22"/>
  <c r="I4" i="22"/>
  <c r="G9" i="22"/>
  <c r="I21" i="22"/>
  <c r="C8" i="22"/>
  <c r="C17" i="22"/>
  <c r="G5" i="22"/>
  <c r="S16" i="23"/>
  <c r="T16" i="23"/>
  <c r="R16" i="23"/>
  <c r="U17" i="23" s="1"/>
  <c r="E12" i="23"/>
  <c r="E11" i="23"/>
  <c r="E10" i="23"/>
  <c r="E9" i="23"/>
  <c r="E8" i="23"/>
  <c r="E7" i="23"/>
  <c r="E6" i="23"/>
  <c r="N23" i="23"/>
  <c r="J23" i="23"/>
  <c r="I23" i="23"/>
  <c r="E23" i="23"/>
  <c r="U12" i="23"/>
  <c r="N22" i="23"/>
  <c r="J22" i="23"/>
  <c r="I22" i="23"/>
  <c r="E22" i="23"/>
  <c r="N21" i="23"/>
  <c r="J21" i="23"/>
  <c r="I21" i="23"/>
  <c r="E21" i="23"/>
  <c r="U10" i="23"/>
  <c r="N20" i="23"/>
  <c r="J20" i="23"/>
  <c r="I20" i="23"/>
  <c r="E20" i="23"/>
  <c r="U9" i="23"/>
  <c r="N19" i="23"/>
  <c r="J19" i="23"/>
  <c r="I19" i="23"/>
  <c r="E19" i="23"/>
  <c r="U8" i="23"/>
  <c r="N18" i="23"/>
  <c r="J18" i="23"/>
  <c r="I18" i="23"/>
  <c r="E18" i="23"/>
  <c r="U7" i="23"/>
  <c r="N17" i="23"/>
  <c r="J17" i="23"/>
  <c r="I17" i="23"/>
  <c r="E17" i="23"/>
  <c r="U6" i="23"/>
  <c r="P16" i="23"/>
  <c r="O16" i="23"/>
  <c r="L16" i="23"/>
  <c r="K16" i="23"/>
  <c r="Q12" i="23"/>
  <c r="M12" i="23"/>
  <c r="I12" i="23"/>
  <c r="Q11" i="23"/>
  <c r="M11" i="23"/>
  <c r="Q10" i="23"/>
  <c r="M10" i="23"/>
  <c r="I10" i="23"/>
  <c r="Q9" i="23"/>
  <c r="M9" i="23"/>
  <c r="I9" i="23"/>
  <c r="Q8" i="23"/>
  <c r="M8" i="23"/>
  <c r="I8" i="23"/>
  <c r="Q7" i="23"/>
  <c r="M7" i="23"/>
  <c r="I7" i="23"/>
  <c r="Q6" i="23"/>
  <c r="M6" i="23"/>
  <c r="I6" i="23"/>
  <c r="J14" i="21"/>
  <c r="E11" i="21"/>
  <c r="E10" i="21"/>
  <c r="E8" i="21"/>
  <c r="E7" i="21"/>
  <c r="E9" i="21"/>
  <c r="E6" i="21"/>
  <c r="E5" i="21"/>
  <c r="C11" i="21"/>
  <c r="C10" i="21"/>
  <c r="C8" i="21"/>
  <c r="C7" i="21"/>
  <c r="C9" i="21"/>
  <c r="C6" i="21"/>
  <c r="C5" i="21"/>
  <c r="E21" i="21"/>
  <c r="C21" i="21"/>
  <c r="K11" i="21"/>
  <c r="E20" i="21"/>
  <c r="C20" i="21"/>
  <c r="K10" i="21"/>
  <c r="E18" i="21"/>
  <c r="C18" i="21"/>
  <c r="K8" i="21"/>
  <c r="E17" i="21"/>
  <c r="C17" i="21"/>
  <c r="K7" i="21"/>
  <c r="E19" i="21"/>
  <c r="C19" i="21"/>
  <c r="K9" i="21"/>
  <c r="E16" i="21"/>
  <c r="C16" i="21"/>
  <c r="K6" i="21"/>
  <c r="E15" i="21"/>
  <c r="C15" i="21"/>
  <c r="K5" i="21"/>
  <c r="H14" i="21"/>
  <c r="I15" i="21" s="1"/>
  <c r="F14" i="21"/>
  <c r="G15" i="21" s="1"/>
  <c r="I11" i="21"/>
  <c r="G11" i="21"/>
  <c r="I10" i="21"/>
  <c r="G10" i="21"/>
  <c r="I8" i="21"/>
  <c r="G8" i="21"/>
  <c r="I7" i="21"/>
  <c r="G7" i="21"/>
  <c r="I9" i="21"/>
  <c r="G9" i="21"/>
  <c r="I6" i="21"/>
  <c r="G6" i="21"/>
  <c r="I5" i="21"/>
  <c r="G5" i="21"/>
  <c r="K21" i="19"/>
  <c r="K14" i="19" s="1"/>
  <c r="I21" i="19"/>
  <c r="I14" i="19" s="1"/>
  <c r="G21" i="19"/>
  <c r="G14" i="19" s="1"/>
  <c r="E5" i="23" l="1"/>
  <c r="U19" i="23"/>
  <c r="E4" i="21"/>
  <c r="K4" i="21"/>
  <c r="I5" i="23"/>
  <c r="I4" i="21"/>
  <c r="G18" i="21"/>
  <c r="U5" i="23"/>
  <c r="G4" i="21"/>
  <c r="E14" i="21"/>
  <c r="G19" i="21"/>
  <c r="Q5" i="23"/>
  <c r="E16" i="23"/>
  <c r="Q18" i="23"/>
  <c r="I16" i="23"/>
  <c r="U18" i="23"/>
  <c r="U16" i="23" s="1"/>
  <c r="I5" i="19"/>
  <c r="I9" i="19"/>
  <c r="I7" i="19"/>
  <c r="I10" i="19"/>
  <c r="I8" i="19"/>
  <c r="I6" i="19"/>
  <c r="J16" i="23"/>
  <c r="M22" i="23" s="1"/>
  <c r="M17" i="23"/>
  <c r="N16" i="23"/>
  <c r="Q23" i="23" s="1"/>
  <c r="Q17" i="23"/>
  <c r="K16" i="21"/>
  <c r="K21" i="21"/>
  <c r="K20" i="21"/>
  <c r="K18" i="21"/>
  <c r="K17" i="21"/>
  <c r="K19" i="21"/>
  <c r="K15" i="21"/>
  <c r="I21" i="21"/>
  <c r="I20" i="21"/>
  <c r="I19" i="21"/>
  <c r="I18" i="21"/>
  <c r="I17" i="21"/>
  <c r="I16" i="21"/>
  <c r="C4" i="21"/>
  <c r="C14" i="21"/>
  <c r="G17" i="21"/>
  <c r="G21" i="21"/>
  <c r="G20" i="21"/>
  <c r="G16" i="21"/>
  <c r="M5" i="23"/>
  <c r="I14" i="21" l="1"/>
  <c r="M21" i="23"/>
  <c r="M20" i="23"/>
  <c r="Q22" i="23"/>
  <c r="Q19" i="23"/>
  <c r="K14" i="21"/>
  <c r="Q20" i="23"/>
  <c r="Q21" i="23"/>
  <c r="G14" i="21"/>
  <c r="M19" i="23"/>
  <c r="M23" i="23"/>
  <c r="M18" i="23"/>
  <c r="M16" i="23" s="1"/>
  <c r="Q16" i="23" l="1"/>
  <c r="J4" i="19"/>
  <c r="K5" i="19" l="1"/>
  <c r="K10" i="19"/>
  <c r="K9" i="19"/>
  <c r="K6" i="19"/>
  <c r="K8" i="19"/>
  <c r="K7" i="19"/>
  <c r="K4" i="19" l="1"/>
  <c r="H4" i="30"/>
  <c r="H9" i="30" s="1"/>
  <c r="H7" i="30"/>
  <c r="H15" i="30" l="1"/>
  <c r="H19" i="30"/>
  <c r="H11" i="30"/>
  <c r="H5" i="30" s="1"/>
  <c r="H13" i="30"/>
  <c r="H21" i="30"/>
  <c r="H17" i="30"/>
</calcChain>
</file>

<file path=xl/sharedStrings.xml><?xml version="1.0" encoding="utf-8"?>
<sst xmlns="http://schemas.openxmlformats.org/spreadsheetml/2006/main" count="2895" uniqueCount="744">
  <si>
    <t>總計</t>
    <phoneticPr fontId="3" type="noConversion"/>
  </si>
  <si>
    <t>少年觸法事件</t>
    <phoneticPr fontId="3" type="noConversion"/>
  </si>
  <si>
    <t>少年曝險事件</t>
    <phoneticPr fontId="3" type="noConversion"/>
  </si>
  <si>
    <r>
      <t xml:space="preserve"> </t>
    </r>
    <r>
      <rPr>
        <sz val="12"/>
        <color theme="1"/>
        <rFont val="新細明體"/>
        <family val="2"/>
        <charset val="136"/>
        <scheme val="minor"/>
      </rPr>
      <t>總計</t>
    </r>
    <phoneticPr fontId="3" type="noConversion"/>
  </si>
  <si>
    <t>終結情形︵人︶</t>
    <phoneticPr fontId="3" type="noConversion"/>
  </si>
  <si>
    <r>
      <t>終結情形</t>
    </r>
    <r>
      <rPr>
        <sz val="12"/>
        <color theme="1"/>
        <rFont val="新細明體"/>
        <family val="2"/>
        <charset val="136"/>
        <scheme val="minor"/>
      </rPr>
      <t>總計</t>
    </r>
    <phoneticPr fontId="3" type="noConversion"/>
  </si>
  <si>
    <t>　　移送地檢署</t>
    <phoneticPr fontId="3" type="noConversion"/>
  </si>
  <si>
    <t>小計</t>
    <phoneticPr fontId="3" type="noConversion"/>
  </si>
  <si>
    <r>
      <t xml:space="preserve">                  </t>
    </r>
    <r>
      <rPr>
        <sz val="12"/>
        <color theme="1"/>
        <rFont val="新細明體"/>
        <family val="2"/>
        <charset val="136"/>
        <scheme val="minor"/>
      </rPr>
      <t>犯最輕本刑為五年以上有期徒刑之罪</t>
    </r>
    <phoneticPr fontId="3" type="noConversion"/>
  </si>
  <si>
    <t>-</t>
    <phoneticPr fontId="3" type="noConversion"/>
  </si>
  <si>
    <r>
      <t xml:space="preserve">                  </t>
    </r>
    <r>
      <rPr>
        <sz val="12"/>
        <color theme="1"/>
        <rFont val="新細明體"/>
        <family val="2"/>
        <charset val="136"/>
        <scheme val="minor"/>
      </rPr>
      <t>犯罪情節重大</t>
    </r>
    <phoneticPr fontId="3" type="noConversion"/>
  </si>
  <si>
    <t>　　不付審理總計</t>
    <phoneticPr fontId="3" type="noConversion"/>
  </si>
  <si>
    <t>　　　　應不付審理</t>
    <phoneticPr fontId="3" type="noConversion"/>
  </si>
  <si>
    <r>
      <t>　　　　情節輕微</t>
    </r>
    <r>
      <rPr>
        <sz val="12"/>
        <color theme="1"/>
        <rFont val="新細明體"/>
        <family val="2"/>
        <charset val="136"/>
        <scheme val="minor"/>
      </rPr>
      <t>不付審理</t>
    </r>
    <phoneticPr fontId="3" type="noConversion"/>
  </si>
  <si>
    <r>
      <rPr>
        <sz val="12"/>
        <color theme="1"/>
        <rFont val="新細明體"/>
        <family val="2"/>
        <charset val="136"/>
        <scheme val="minor"/>
      </rPr>
      <t>小計</t>
    </r>
    <phoneticPr fontId="3" type="noConversion"/>
  </si>
  <si>
    <r>
      <t xml:space="preserve">        </t>
    </r>
    <r>
      <rPr>
        <sz val="12"/>
        <color theme="1"/>
        <rFont val="新細明體"/>
        <family val="2"/>
        <charset val="136"/>
        <scheme val="minor"/>
      </rPr>
      <t>轉介輔導</t>
    </r>
    <phoneticPr fontId="3" type="noConversion"/>
  </si>
  <si>
    <r>
      <t xml:space="preserve">        </t>
    </r>
    <r>
      <rPr>
        <sz val="12"/>
        <color theme="1"/>
        <rFont val="新細明體"/>
        <family val="2"/>
        <charset val="136"/>
        <scheme val="minor"/>
      </rPr>
      <t>交付管教</t>
    </r>
    <phoneticPr fontId="3" type="noConversion"/>
  </si>
  <si>
    <r>
      <t xml:space="preserve">        </t>
    </r>
    <r>
      <rPr>
        <sz val="12"/>
        <color theme="1"/>
        <rFont val="新細明體"/>
        <family val="2"/>
        <charset val="136"/>
        <scheme val="minor"/>
      </rPr>
      <t>告誡</t>
    </r>
    <phoneticPr fontId="3" type="noConversion"/>
  </si>
  <si>
    <t>　　開始審理</t>
    <phoneticPr fontId="3" type="noConversion"/>
  </si>
  <si>
    <t>　　協尋</t>
    <phoneticPr fontId="3" type="noConversion"/>
  </si>
  <si>
    <t>　　併辦</t>
    <phoneticPr fontId="3" type="noConversion"/>
  </si>
  <si>
    <t>　　其他</t>
    <phoneticPr fontId="3" type="noConversion"/>
  </si>
  <si>
    <r>
      <t xml:space="preserve"> </t>
    </r>
    <r>
      <rPr>
        <sz val="12"/>
        <color theme="1"/>
        <rFont val="新細明體"/>
        <family val="2"/>
        <charset val="136"/>
        <scheme val="minor"/>
      </rPr>
      <t>治療人數</t>
    </r>
    <phoneticPr fontId="3" type="noConversion"/>
  </si>
  <si>
    <t>說　　明：本表之少年觸法，為少年觸犯刑罰法令。本表以下皆同。</t>
    <phoneticPr fontId="3" type="noConversion"/>
  </si>
  <si>
    <r>
      <rPr>
        <sz val="15"/>
        <color rgb="FF000000"/>
        <rFont val="新細明體"/>
        <family val="1"/>
        <charset val="136"/>
      </rPr>
      <t>表</t>
    </r>
    <r>
      <rPr>
        <sz val="15"/>
        <color rgb="FF000000"/>
        <rFont val="Times New Roman"/>
        <family val="1"/>
      </rPr>
      <t>3-2-1    111</t>
    </r>
    <r>
      <rPr>
        <sz val="15"/>
        <color rgb="FF000000"/>
        <rFont val="新細明體"/>
        <family val="1"/>
        <charset val="136"/>
      </rPr>
      <t>年少年事件調查收結情形</t>
    </r>
    <phoneticPr fontId="3" type="noConversion"/>
  </si>
  <si>
    <r>
      <t>受理</t>
    </r>
    <r>
      <rPr>
        <sz val="12"/>
        <color rgb="FF000000"/>
        <rFont val="新細明體"/>
        <family val="1"/>
        <charset val="136"/>
      </rPr>
      <t>情形</t>
    </r>
    <phoneticPr fontId="3" type="noConversion"/>
  </si>
  <si>
    <r>
      <t xml:space="preserve">                  </t>
    </r>
    <r>
      <rPr>
        <sz val="12"/>
        <color theme="1"/>
        <rFont val="新細明體"/>
        <family val="2"/>
        <charset val="136"/>
        <scheme val="minor"/>
      </rPr>
      <t>舊受</t>
    </r>
    <r>
      <rPr>
        <sz val="12"/>
        <color rgb="FF000000"/>
        <rFont val="新細明體"/>
        <family val="1"/>
        <charset val="136"/>
      </rPr>
      <t>件數</t>
    </r>
    <phoneticPr fontId="3" type="noConversion"/>
  </si>
  <si>
    <r>
      <t xml:space="preserve">                  </t>
    </r>
    <r>
      <rPr>
        <sz val="12"/>
        <color theme="1"/>
        <rFont val="新細明體"/>
        <family val="2"/>
        <charset val="136"/>
        <scheme val="minor"/>
      </rPr>
      <t>新收</t>
    </r>
    <r>
      <rPr>
        <sz val="12"/>
        <color rgb="FF000000"/>
        <rFont val="新細明體"/>
        <family val="1"/>
        <charset val="136"/>
      </rPr>
      <t>件數</t>
    </r>
    <phoneticPr fontId="3" type="noConversion"/>
  </si>
  <si>
    <r>
      <t xml:space="preserve">                  </t>
    </r>
    <r>
      <rPr>
        <sz val="12"/>
        <color theme="1"/>
        <rFont val="新細明體"/>
        <family val="2"/>
        <charset val="136"/>
        <scheme val="minor"/>
      </rPr>
      <t>終結</t>
    </r>
    <r>
      <rPr>
        <sz val="12"/>
        <color rgb="FF000000"/>
        <rFont val="新細明體"/>
        <family val="1"/>
        <charset val="136"/>
      </rPr>
      <t>件數</t>
    </r>
    <phoneticPr fontId="3" type="noConversion"/>
  </si>
  <si>
    <r>
      <t xml:space="preserve">                  </t>
    </r>
    <r>
      <rPr>
        <sz val="12"/>
        <color theme="1"/>
        <rFont val="新細明體"/>
        <family val="2"/>
        <charset val="136"/>
        <scheme val="minor"/>
      </rPr>
      <t>未結</t>
    </r>
    <r>
      <rPr>
        <sz val="12"/>
        <color rgb="FF000000"/>
        <rFont val="新細明體"/>
        <family val="1"/>
        <charset val="136"/>
      </rPr>
      <t>件數</t>
    </r>
    <phoneticPr fontId="3" type="noConversion"/>
  </si>
  <si>
    <r>
      <rPr>
        <sz val="12"/>
        <color theme="1"/>
        <rFont val="新細明體"/>
        <family val="2"/>
        <charset val="136"/>
        <scheme val="minor"/>
      </rPr>
      <t>　　移送</t>
    </r>
    <r>
      <rPr>
        <sz val="12"/>
        <color rgb="FF000000"/>
        <rFont val="Times New Roman"/>
        <family val="1"/>
      </rPr>
      <t>(</t>
    </r>
    <r>
      <rPr>
        <sz val="12"/>
        <color theme="1"/>
        <rFont val="新細明體"/>
        <family val="2"/>
        <charset val="136"/>
        <scheme val="minor"/>
      </rPr>
      <t>轉</t>
    </r>
    <r>
      <rPr>
        <sz val="12"/>
        <color rgb="FF000000"/>
        <rFont val="Times New Roman"/>
        <family val="1"/>
      </rPr>
      <t>)</t>
    </r>
    <r>
      <rPr>
        <sz val="12"/>
        <color theme="1"/>
        <rFont val="新細明體"/>
        <family val="2"/>
        <charset val="136"/>
        <scheme val="minor"/>
      </rPr>
      <t>管轄</t>
    </r>
    <phoneticPr fontId="3" type="noConversion"/>
  </si>
  <si>
    <t>-</t>
    <phoneticPr fontId="11" type="noConversion"/>
  </si>
  <si>
    <t xml:space="preserve">        其他</t>
    <phoneticPr fontId="12" type="noConversion"/>
  </si>
  <si>
    <t>-</t>
    <phoneticPr fontId="12" type="noConversion"/>
  </si>
  <si>
    <r>
      <rPr>
        <sz val="10"/>
        <color rgb="FF000000"/>
        <rFont val="新細明體"/>
        <family val="1"/>
        <charset val="136"/>
      </rPr>
      <t>資料來源：司法院</t>
    </r>
    <r>
      <rPr>
        <sz val="10"/>
        <color rgb="FF000000"/>
        <rFont val="Times New Roman"/>
        <family val="1"/>
      </rPr>
      <t xml:space="preserve"> (</t>
    </r>
    <r>
      <rPr>
        <sz val="10"/>
        <color rgb="FF000000"/>
        <rFont val="新細明體"/>
        <family val="1"/>
        <charset val="136"/>
      </rPr>
      <t>表</t>
    </r>
    <r>
      <rPr>
        <sz val="10"/>
        <color rgb="FF000000"/>
        <rFont val="Times New Roman"/>
        <family val="1"/>
      </rPr>
      <t>10914-03-01-05)</t>
    </r>
    <r>
      <rPr>
        <sz val="10"/>
        <color rgb="FF000000"/>
        <rFont val="新細明體"/>
        <family val="1"/>
        <charset val="136"/>
      </rPr>
      <t>。</t>
    </r>
    <phoneticPr fontId="3" type="noConversion"/>
  </si>
  <si>
    <r>
      <rPr>
        <sz val="15"/>
        <rFont val="新細明體"/>
        <family val="1"/>
        <charset val="136"/>
      </rPr>
      <t>表</t>
    </r>
    <r>
      <rPr>
        <sz val="15"/>
        <rFont val="Times New Roman"/>
        <family val="1"/>
      </rPr>
      <t>3-2-2</t>
    </r>
    <r>
      <rPr>
        <sz val="15"/>
        <rFont val="新細明體"/>
        <family val="1"/>
        <charset val="136"/>
      </rPr>
      <t>　近</t>
    </r>
    <r>
      <rPr>
        <sz val="15"/>
        <rFont val="Times New Roman"/>
        <family val="1"/>
      </rPr>
      <t>10</t>
    </r>
    <r>
      <rPr>
        <sz val="15"/>
        <rFont val="新細明體"/>
        <family val="1"/>
        <charset val="136"/>
      </rPr>
      <t>年少年保護事件審理終結情形</t>
    </r>
    <phoneticPr fontId="3" type="noConversion"/>
  </si>
  <si>
    <r>
      <rPr>
        <sz val="12"/>
        <color theme="1"/>
        <rFont val="新細明體"/>
        <family val="2"/>
        <charset val="136"/>
        <scheme val="minor"/>
      </rPr>
      <t>終結件數</t>
    </r>
    <phoneticPr fontId="3" type="noConversion"/>
  </si>
  <si>
    <t>終結人數</t>
    <phoneticPr fontId="3" type="noConversion"/>
  </si>
  <si>
    <r>
      <rPr>
        <sz val="12"/>
        <rFont val="新細明體"/>
        <family val="1"/>
        <charset val="136"/>
      </rPr>
      <t>移送︵轉︶管轄</t>
    </r>
    <phoneticPr fontId="3" type="noConversion"/>
  </si>
  <si>
    <r>
      <rPr>
        <sz val="12"/>
        <rFont val="新細明體"/>
        <family val="1"/>
        <charset val="136"/>
      </rPr>
      <t>移送檢察署</t>
    </r>
    <phoneticPr fontId="3" type="noConversion"/>
  </si>
  <si>
    <r>
      <rPr>
        <sz val="12"/>
        <rFont val="新細明體"/>
        <family val="1"/>
        <charset val="136"/>
      </rPr>
      <t>不付保護處分</t>
    </r>
    <phoneticPr fontId="3" type="noConversion"/>
  </si>
  <si>
    <r>
      <rPr>
        <sz val="12"/>
        <color theme="1"/>
        <rFont val="新細明體"/>
        <family val="2"/>
        <charset val="136"/>
        <scheme val="minor"/>
      </rPr>
      <t>交付保護處分</t>
    </r>
    <phoneticPr fontId="3" type="noConversion"/>
  </si>
  <si>
    <r>
      <rPr>
        <sz val="12"/>
        <color theme="1"/>
        <rFont val="新細明體"/>
        <family val="2"/>
        <charset val="136"/>
        <scheme val="minor"/>
      </rPr>
      <t>協尋</t>
    </r>
    <phoneticPr fontId="3" type="noConversion"/>
  </si>
  <si>
    <r>
      <rPr>
        <sz val="12"/>
        <color theme="1"/>
        <rFont val="新細明體"/>
        <family val="2"/>
        <charset val="136"/>
        <scheme val="minor"/>
      </rPr>
      <t>併辦</t>
    </r>
    <phoneticPr fontId="3" type="noConversion"/>
  </si>
  <si>
    <r>
      <rPr>
        <sz val="12"/>
        <color theme="1"/>
        <rFont val="新細明體"/>
        <family val="2"/>
        <charset val="136"/>
        <scheme val="minor"/>
      </rPr>
      <t>其他</t>
    </r>
    <phoneticPr fontId="3" type="noConversion"/>
  </si>
  <si>
    <r>
      <rPr>
        <sz val="12"/>
        <color theme="1"/>
        <rFont val="新細明體"/>
        <family val="2"/>
        <charset val="136"/>
        <scheme val="minor"/>
      </rPr>
      <t>保護管束</t>
    </r>
    <phoneticPr fontId="3" type="noConversion"/>
  </si>
  <si>
    <r>
      <rPr>
        <sz val="12"/>
        <color theme="1"/>
        <rFont val="新細明體"/>
        <family val="2"/>
        <charset val="136"/>
        <scheme val="minor"/>
      </rPr>
      <t>訓誡</t>
    </r>
    <phoneticPr fontId="3" type="noConversion"/>
  </si>
  <si>
    <r>
      <rPr>
        <sz val="12"/>
        <color theme="1"/>
        <rFont val="新細明體"/>
        <family val="2"/>
        <charset val="136"/>
        <scheme val="minor"/>
      </rPr>
      <t>感化教育</t>
    </r>
    <phoneticPr fontId="3" type="noConversion"/>
  </si>
  <si>
    <r>
      <rPr>
        <sz val="12"/>
        <color theme="1"/>
        <rFont val="新細明體"/>
        <family val="2"/>
        <charset val="136"/>
        <scheme val="minor"/>
      </rPr>
      <t>安置輔導</t>
    </r>
    <phoneticPr fontId="3" type="noConversion"/>
  </si>
  <si>
    <r>
      <t>102年</t>
    </r>
    <r>
      <rPr>
        <sz val="12"/>
        <color theme="1"/>
        <rFont val="新細明體"/>
        <family val="2"/>
        <charset val="136"/>
        <scheme val="minor"/>
      </rPr>
      <t/>
    </r>
  </si>
  <si>
    <r>
      <t>103年</t>
    </r>
    <r>
      <rPr>
        <sz val="12"/>
        <color theme="1"/>
        <rFont val="新細明體"/>
        <family val="2"/>
        <charset val="136"/>
        <scheme val="minor"/>
      </rPr>
      <t/>
    </r>
  </si>
  <si>
    <r>
      <t>104年</t>
    </r>
    <r>
      <rPr>
        <sz val="12"/>
        <color theme="1"/>
        <rFont val="新細明體"/>
        <family val="2"/>
        <charset val="136"/>
        <scheme val="minor"/>
      </rPr>
      <t/>
    </r>
  </si>
  <si>
    <r>
      <t>105年</t>
    </r>
    <r>
      <rPr>
        <sz val="12"/>
        <color theme="1"/>
        <rFont val="新細明體"/>
        <family val="2"/>
        <charset val="136"/>
        <scheme val="minor"/>
      </rPr>
      <t/>
    </r>
  </si>
  <si>
    <r>
      <t>106年</t>
    </r>
    <r>
      <rPr>
        <sz val="12"/>
        <color theme="1"/>
        <rFont val="新細明體"/>
        <family val="2"/>
        <charset val="136"/>
        <scheme val="minor"/>
      </rPr>
      <t/>
    </r>
  </si>
  <si>
    <r>
      <t>107年</t>
    </r>
    <r>
      <rPr>
        <sz val="12"/>
        <color theme="1"/>
        <rFont val="新細明體"/>
        <family val="2"/>
        <charset val="136"/>
        <scheme val="minor"/>
      </rPr>
      <t/>
    </r>
  </si>
  <si>
    <r>
      <t>108年</t>
    </r>
    <r>
      <rPr>
        <sz val="12"/>
        <color theme="1"/>
        <rFont val="新細明體"/>
        <family val="2"/>
        <charset val="136"/>
        <scheme val="minor"/>
      </rPr>
      <t/>
    </r>
  </si>
  <si>
    <r>
      <t>109年</t>
    </r>
    <r>
      <rPr>
        <sz val="12"/>
        <color theme="1"/>
        <rFont val="新細明體"/>
        <family val="2"/>
        <charset val="136"/>
        <scheme val="minor"/>
      </rPr>
      <t/>
    </r>
  </si>
  <si>
    <t>110年</t>
    <phoneticPr fontId="2" type="noConversion"/>
  </si>
  <si>
    <r>
      <t>111</t>
    </r>
    <r>
      <rPr>
        <sz val="12"/>
        <rFont val="PMingLiU"/>
        <family val="1"/>
        <charset val="136"/>
      </rPr>
      <t>年</t>
    </r>
    <phoneticPr fontId="2" type="noConversion"/>
  </si>
  <si>
    <r>
      <rPr>
        <sz val="10"/>
        <rFont val="新細明體"/>
        <family val="1"/>
        <charset val="136"/>
      </rPr>
      <t>資料來源：司法院</t>
    </r>
    <r>
      <rPr>
        <sz val="10"/>
        <rFont val="Times New Roman"/>
        <family val="1"/>
      </rPr>
      <t xml:space="preserve"> (</t>
    </r>
    <r>
      <rPr>
        <sz val="10"/>
        <rFont val="新細明體"/>
        <family val="1"/>
        <charset val="136"/>
      </rPr>
      <t>表</t>
    </r>
    <r>
      <rPr>
        <sz val="10"/>
        <rFont val="Times New Roman"/>
        <family val="1"/>
      </rPr>
      <t>10914-03-02-05)</t>
    </r>
    <r>
      <rPr>
        <sz val="10"/>
        <rFont val="新細明體"/>
        <family val="1"/>
        <charset val="136"/>
      </rPr>
      <t>。</t>
    </r>
    <phoneticPr fontId="3" type="noConversion"/>
  </si>
  <si>
    <r>
      <rPr>
        <sz val="10"/>
        <rFont val="新細明體"/>
        <family val="1"/>
        <charset val="136"/>
      </rPr>
      <t>　　　　　</t>
    </r>
    <r>
      <rPr>
        <sz val="10"/>
        <rFont val="Times New Roman"/>
        <family val="1"/>
      </rPr>
      <t xml:space="preserve">2. </t>
    </r>
    <r>
      <rPr>
        <sz val="10"/>
        <rFont val="新細明體"/>
        <family val="1"/>
        <charset val="136"/>
      </rPr>
      <t>不付保護處分含：不應交付、不宜交付、其他項。</t>
    </r>
    <phoneticPr fontId="3" type="noConversion"/>
  </si>
  <si>
    <r>
      <rPr>
        <sz val="10"/>
        <rFont val="新細明體"/>
        <family val="1"/>
        <charset val="136"/>
      </rPr>
      <t>　　　　　</t>
    </r>
    <r>
      <rPr>
        <sz val="10"/>
        <rFont val="Times New Roman"/>
        <family val="1"/>
      </rPr>
      <t>3. 111</t>
    </r>
    <r>
      <rPr>
        <sz val="10"/>
        <rFont val="新細明體"/>
        <family val="1"/>
        <charset val="136"/>
      </rPr>
      <t>年保護管束含：保護管束</t>
    </r>
    <r>
      <rPr>
        <sz val="10"/>
        <rFont val="Times New Roman"/>
        <family val="1"/>
      </rPr>
      <t>3,704</t>
    </r>
    <r>
      <rPr>
        <sz val="10"/>
        <rFont val="新細明體"/>
        <family val="1"/>
        <charset val="136"/>
      </rPr>
      <t>人、保護管束並令勞動服務551人。</t>
    </r>
    <phoneticPr fontId="3" type="noConversion"/>
  </si>
  <si>
    <r>
      <rPr>
        <sz val="10"/>
        <rFont val="新細明體"/>
        <family val="1"/>
        <charset val="136"/>
      </rPr>
      <t>　　　　　</t>
    </r>
    <r>
      <rPr>
        <sz val="10"/>
        <rFont val="Times New Roman"/>
        <family val="1"/>
      </rPr>
      <t>4. 111</t>
    </r>
    <r>
      <rPr>
        <sz val="10"/>
        <rFont val="新細明體"/>
        <family val="1"/>
        <charset val="136"/>
      </rPr>
      <t>年訓誡含：訓誡2,115人、訓誡並予假日生活輔導</t>
    </r>
    <r>
      <rPr>
        <sz val="10"/>
        <rFont val="Times New Roman"/>
        <family val="1"/>
      </rPr>
      <t>2,520</t>
    </r>
    <r>
      <rPr>
        <sz val="10"/>
        <rFont val="新細明體"/>
        <family val="1"/>
        <charset val="136"/>
      </rPr>
      <t>人。</t>
    </r>
    <phoneticPr fontId="3" type="noConversion"/>
  </si>
  <si>
    <r>
      <rPr>
        <sz val="12"/>
        <color theme="1"/>
        <rFont val="新細明體"/>
        <family val="2"/>
        <charset val="136"/>
        <scheme val="minor"/>
      </rPr>
      <t>終</t>
    </r>
    <r>
      <rPr>
        <sz val="12"/>
        <rFont val="Times New Roman"/>
        <family val="1"/>
      </rPr>
      <t xml:space="preserve">   </t>
    </r>
    <r>
      <rPr>
        <sz val="12"/>
        <color theme="1"/>
        <rFont val="新細明體"/>
        <family val="2"/>
        <charset val="136"/>
        <scheme val="minor"/>
      </rPr>
      <t>結</t>
    </r>
    <r>
      <rPr>
        <sz val="12"/>
        <rFont val="Times New Roman"/>
        <family val="1"/>
      </rPr>
      <t xml:space="preserve">   </t>
    </r>
    <r>
      <rPr>
        <sz val="12"/>
        <color theme="1"/>
        <rFont val="新細明體"/>
        <family val="2"/>
        <charset val="136"/>
        <scheme val="minor"/>
      </rPr>
      <t>件</t>
    </r>
    <r>
      <rPr>
        <sz val="12"/>
        <rFont val="Times New Roman"/>
        <family val="1"/>
      </rPr>
      <t xml:space="preserve">   </t>
    </r>
    <r>
      <rPr>
        <sz val="12"/>
        <color theme="1"/>
        <rFont val="新細明體"/>
        <family val="2"/>
        <charset val="136"/>
        <scheme val="minor"/>
      </rPr>
      <t>數</t>
    </r>
    <phoneticPr fontId="3" type="noConversion"/>
  </si>
  <si>
    <r>
      <rPr>
        <sz val="12"/>
        <color theme="1"/>
        <rFont val="新細明體"/>
        <family val="2"/>
        <charset val="136"/>
        <scheme val="minor"/>
      </rPr>
      <t>被</t>
    </r>
    <r>
      <rPr>
        <sz val="12"/>
        <rFont val="Times New Roman"/>
        <family val="1"/>
      </rPr>
      <t xml:space="preserve"> </t>
    </r>
    <r>
      <rPr>
        <sz val="12"/>
        <color theme="1"/>
        <rFont val="新細明體"/>
        <family val="2"/>
        <charset val="136"/>
        <scheme val="minor"/>
      </rPr>
      <t>告</t>
    </r>
    <r>
      <rPr>
        <sz val="12"/>
        <rFont val="Times New Roman"/>
        <family val="1"/>
      </rPr>
      <t xml:space="preserve"> </t>
    </r>
    <r>
      <rPr>
        <sz val="12"/>
        <color theme="1"/>
        <rFont val="新細明體"/>
        <family val="2"/>
        <charset val="136"/>
        <scheme val="minor"/>
      </rPr>
      <t>人</t>
    </r>
    <r>
      <rPr>
        <sz val="12"/>
        <rFont val="Times New Roman"/>
        <family val="1"/>
      </rPr>
      <t xml:space="preserve"> </t>
    </r>
    <r>
      <rPr>
        <sz val="12"/>
        <color theme="1"/>
        <rFont val="新細明體"/>
        <family val="2"/>
        <charset val="136"/>
        <scheme val="minor"/>
      </rPr>
      <t>數</t>
    </r>
    <phoneticPr fontId="3" type="noConversion"/>
  </si>
  <si>
    <r>
      <rPr>
        <sz val="12"/>
        <color theme="1"/>
        <rFont val="新細明體"/>
        <family val="2"/>
        <charset val="136"/>
        <scheme val="minor"/>
      </rPr>
      <t>總計</t>
    </r>
    <phoneticPr fontId="3" type="noConversion"/>
  </si>
  <si>
    <t>科刑小計</t>
    <phoneticPr fontId="3" type="noConversion"/>
  </si>
  <si>
    <t>有期徒刑小計</t>
    <phoneticPr fontId="3" type="noConversion"/>
  </si>
  <si>
    <t>六月以下</t>
    <phoneticPr fontId="3" type="noConversion"/>
  </si>
  <si>
    <r>
      <rPr>
        <sz val="12"/>
        <color theme="1"/>
        <rFont val="新細明體"/>
        <family val="2"/>
        <charset val="136"/>
        <scheme val="minor"/>
      </rPr>
      <t>逾六月至一年以下</t>
    </r>
    <phoneticPr fontId="3" type="noConversion"/>
  </si>
  <si>
    <r>
      <rPr>
        <sz val="12"/>
        <color theme="1"/>
        <rFont val="新細明體"/>
        <family val="2"/>
        <charset val="136"/>
        <scheme val="minor"/>
      </rPr>
      <t>逾一年至二年以下</t>
    </r>
    <phoneticPr fontId="3" type="noConversion"/>
  </si>
  <si>
    <r>
      <rPr>
        <sz val="12"/>
        <color theme="1"/>
        <rFont val="新細明體"/>
        <family val="2"/>
        <charset val="136"/>
        <scheme val="minor"/>
      </rPr>
      <t>逾二年至三年以下</t>
    </r>
    <phoneticPr fontId="3" type="noConversion"/>
  </si>
  <si>
    <r>
      <rPr>
        <sz val="12"/>
        <color theme="1"/>
        <rFont val="新細明體"/>
        <family val="2"/>
        <charset val="136"/>
        <scheme val="minor"/>
      </rPr>
      <t>逾三年至五年以下</t>
    </r>
    <phoneticPr fontId="3" type="noConversion"/>
  </si>
  <si>
    <r>
      <rPr>
        <sz val="12"/>
        <color theme="1"/>
        <rFont val="新細明體"/>
        <family val="2"/>
        <charset val="136"/>
        <scheme val="minor"/>
      </rPr>
      <t>逾五年至七年以下</t>
    </r>
    <phoneticPr fontId="3" type="noConversion"/>
  </si>
  <si>
    <r>
      <rPr>
        <sz val="12"/>
        <color theme="1"/>
        <rFont val="新細明體"/>
        <family val="2"/>
        <charset val="136"/>
        <scheme val="minor"/>
      </rPr>
      <t>逾七年至十年以下</t>
    </r>
    <phoneticPr fontId="3" type="noConversion"/>
  </si>
  <si>
    <r>
      <rPr>
        <sz val="12"/>
        <color theme="1"/>
        <rFont val="新細明體"/>
        <family val="2"/>
        <charset val="136"/>
        <scheme val="minor"/>
      </rPr>
      <t>逾十年至十五年以下</t>
    </r>
    <phoneticPr fontId="3" type="noConversion"/>
  </si>
  <si>
    <r>
      <rPr>
        <sz val="12"/>
        <color theme="1"/>
        <rFont val="新細明體"/>
        <family val="2"/>
        <charset val="136"/>
        <scheme val="minor"/>
      </rPr>
      <t>逾十五年</t>
    </r>
    <phoneticPr fontId="3" type="noConversion"/>
  </si>
  <si>
    <t>-</t>
  </si>
  <si>
    <r>
      <rPr>
        <sz val="12"/>
        <color theme="1"/>
        <rFont val="新細明體"/>
        <family val="2"/>
        <charset val="136"/>
        <scheme val="minor"/>
      </rPr>
      <t>拘役</t>
    </r>
    <phoneticPr fontId="3" type="noConversion"/>
  </si>
  <si>
    <r>
      <rPr>
        <sz val="12"/>
        <color theme="1"/>
        <rFont val="新細明體"/>
        <family val="2"/>
        <charset val="136"/>
        <scheme val="minor"/>
      </rPr>
      <t>罰金</t>
    </r>
    <phoneticPr fontId="3" type="noConversion"/>
  </si>
  <si>
    <t>-</t>
    <phoneticPr fontId="23" type="noConversion"/>
  </si>
  <si>
    <r>
      <rPr>
        <sz val="12"/>
        <color theme="1"/>
        <rFont val="新細明體"/>
        <family val="2"/>
        <charset val="136"/>
        <scheme val="minor"/>
      </rPr>
      <t>免除其刑</t>
    </r>
    <phoneticPr fontId="3" type="noConversion"/>
  </si>
  <si>
    <r>
      <rPr>
        <sz val="12"/>
        <color theme="1"/>
        <rFont val="新細明體"/>
        <family val="2"/>
        <charset val="136"/>
        <scheme val="minor"/>
      </rPr>
      <t>免除其刑並交付保護處分</t>
    </r>
    <phoneticPr fontId="3" type="noConversion"/>
  </si>
  <si>
    <r>
      <rPr>
        <sz val="12"/>
        <color theme="1"/>
        <rFont val="新細明體"/>
        <family val="2"/>
        <charset val="136"/>
        <scheme val="minor"/>
      </rPr>
      <t>不受理</t>
    </r>
    <phoneticPr fontId="3" type="noConversion"/>
  </si>
  <si>
    <r>
      <rPr>
        <sz val="12"/>
        <color theme="1"/>
        <rFont val="新細明體"/>
        <family val="2"/>
        <charset val="136"/>
        <scheme val="minor"/>
      </rPr>
      <t>免訴</t>
    </r>
    <phoneticPr fontId="3" type="noConversion"/>
  </si>
  <si>
    <r>
      <rPr>
        <sz val="12"/>
        <color theme="1"/>
        <rFont val="新細明體"/>
        <family val="2"/>
        <charset val="136"/>
        <scheme val="minor"/>
      </rPr>
      <t>無罪</t>
    </r>
    <phoneticPr fontId="3" type="noConversion"/>
  </si>
  <si>
    <r>
      <rPr>
        <sz val="12"/>
        <color theme="1"/>
        <rFont val="新細明體"/>
        <family val="2"/>
        <charset val="136"/>
        <scheme val="minor"/>
      </rPr>
      <t>管轄錯誤</t>
    </r>
    <phoneticPr fontId="3" type="noConversion"/>
  </si>
  <si>
    <r>
      <rPr>
        <sz val="12"/>
        <color theme="1"/>
        <rFont val="新細明體"/>
        <family val="2"/>
        <charset val="136"/>
        <scheme val="minor"/>
      </rPr>
      <t>通緝</t>
    </r>
    <phoneticPr fontId="3" type="noConversion"/>
  </si>
  <si>
    <r>
      <rPr>
        <sz val="11"/>
        <rFont val="新細明體"/>
        <family val="1"/>
        <charset val="136"/>
      </rPr>
      <t>其他</t>
    </r>
    <phoneticPr fontId="3" type="noConversion"/>
  </si>
  <si>
    <r>
      <rPr>
        <sz val="12"/>
        <color theme="1"/>
        <rFont val="新細明體"/>
        <family val="2"/>
        <charset val="136"/>
        <scheme val="minor"/>
      </rPr>
      <t>保安處分人數</t>
    </r>
    <phoneticPr fontId="3" type="noConversion"/>
  </si>
  <si>
    <t>保護管束</t>
    <phoneticPr fontId="3" type="noConversion"/>
  </si>
  <si>
    <r>
      <rPr>
        <sz val="12"/>
        <color theme="1"/>
        <rFont val="新細明體"/>
        <family val="2"/>
        <charset val="136"/>
        <scheme val="minor"/>
      </rPr>
      <t>強制治療</t>
    </r>
    <phoneticPr fontId="3" type="noConversion"/>
  </si>
  <si>
    <r>
      <rPr>
        <sz val="12"/>
        <color theme="1"/>
        <rFont val="新細明體"/>
        <family val="2"/>
        <charset val="136"/>
        <scheme val="minor"/>
      </rPr>
      <t>禁戒</t>
    </r>
    <phoneticPr fontId="3" type="noConversion"/>
  </si>
  <si>
    <r>
      <rPr>
        <sz val="12"/>
        <color theme="1"/>
        <rFont val="新細明體"/>
        <family val="2"/>
        <charset val="136"/>
        <scheme val="minor"/>
      </rPr>
      <t>強制工作</t>
    </r>
    <phoneticPr fontId="3" type="noConversion"/>
  </si>
  <si>
    <r>
      <rPr>
        <sz val="12"/>
        <color theme="1"/>
        <rFont val="新細明體"/>
        <family val="2"/>
        <charset val="136"/>
        <scheme val="minor"/>
      </rPr>
      <t>驅逐出境</t>
    </r>
    <phoneticPr fontId="3" type="noConversion"/>
  </si>
  <si>
    <r>
      <rPr>
        <sz val="12"/>
        <color theme="1"/>
        <rFont val="新細明體"/>
        <family val="2"/>
        <charset val="136"/>
        <scheme val="minor"/>
      </rPr>
      <t>監護</t>
    </r>
    <phoneticPr fontId="3" type="noConversion"/>
  </si>
  <si>
    <r>
      <rPr>
        <sz val="12"/>
        <color theme="1"/>
        <rFont val="新細明體"/>
        <family val="2"/>
        <charset val="136"/>
        <scheme val="minor"/>
      </rPr>
      <t>緩刑人數</t>
    </r>
    <phoneticPr fontId="3" type="noConversion"/>
  </si>
  <si>
    <r>
      <rPr>
        <sz val="10"/>
        <rFont val="新細明體"/>
        <family val="1"/>
        <charset val="136"/>
      </rPr>
      <t>資料來源：司法院</t>
    </r>
    <r>
      <rPr>
        <sz val="10"/>
        <rFont val="Times New Roman"/>
        <family val="1"/>
      </rPr>
      <t xml:space="preserve"> (</t>
    </r>
    <r>
      <rPr>
        <sz val="10"/>
        <rFont val="新細明體"/>
        <family val="1"/>
        <charset val="136"/>
      </rPr>
      <t>表</t>
    </r>
    <r>
      <rPr>
        <sz val="10"/>
        <rFont val="Times New Roman"/>
        <family val="1"/>
      </rPr>
      <t>10914-02-03-05)</t>
    </r>
    <r>
      <rPr>
        <sz val="10"/>
        <rFont val="新細明體"/>
        <family val="1"/>
        <charset val="136"/>
      </rPr>
      <t>。</t>
    </r>
    <phoneticPr fontId="3" type="noConversion"/>
  </si>
  <si>
    <t>男</t>
    <phoneticPr fontId="3" type="noConversion"/>
  </si>
  <si>
    <t>女</t>
    <phoneticPr fontId="3" type="noConversion"/>
  </si>
  <si>
    <r>
      <t>102年</t>
    </r>
    <r>
      <rPr>
        <sz val="12"/>
        <color theme="1"/>
        <rFont val="新細明體"/>
        <family val="2"/>
      </rPr>
      <t/>
    </r>
  </si>
  <si>
    <r>
      <t>103年</t>
    </r>
    <r>
      <rPr>
        <sz val="12"/>
        <color theme="1"/>
        <rFont val="新細明體"/>
        <family val="2"/>
      </rPr>
      <t/>
    </r>
  </si>
  <si>
    <r>
      <t>104年</t>
    </r>
    <r>
      <rPr>
        <sz val="12"/>
        <color theme="1"/>
        <rFont val="新細明體"/>
        <family val="2"/>
      </rPr>
      <t/>
    </r>
  </si>
  <si>
    <r>
      <t>105年</t>
    </r>
    <r>
      <rPr>
        <sz val="12"/>
        <color theme="1"/>
        <rFont val="新細明體"/>
        <family val="2"/>
      </rPr>
      <t/>
    </r>
  </si>
  <si>
    <r>
      <t>106年</t>
    </r>
    <r>
      <rPr>
        <sz val="12"/>
        <color theme="1"/>
        <rFont val="新細明體"/>
        <family val="2"/>
      </rPr>
      <t/>
    </r>
  </si>
  <si>
    <r>
      <rPr>
        <sz val="12"/>
        <color theme="1"/>
        <rFont val="新細明體"/>
        <family val="2"/>
      </rPr>
      <t>人</t>
    </r>
    <phoneticPr fontId="3" type="noConversion"/>
  </si>
  <si>
    <t>%</t>
    <phoneticPr fontId="3" type="noConversion"/>
  </si>
  <si>
    <r>
      <rPr>
        <sz val="12"/>
        <color theme="1"/>
        <rFont val="新細明體"/>
        <family val="2"/>
      </rPr>
      <t>總計</t>
    </r>
    <phoneticPr fontId="3" type="noConversion"/>
  </si>
  <si>
    <r>
      <rPr>
        <sz val="12"/>
        <color theme="1"/>
        <rFont val="新細明體"/>
        <family val="2"/>
      </rPr>
      <t>男</t>
    </r>
    <phoneticPr fontId="3" type="noConversion"/>
  </si>
  <si>
    <r>
      <rPr>
        <sz val="12"/>
        <color theme="1"/>
        <rFont val="新細明體"/>
        <family val="2"/>
      </rPr>
      <t>女</t>
    </r>
    <phoneticPr fontId="3" type="noConversion"/>
  </si>
  <si>
    <r>
      <rPr>
        <sz val="12"/>
        <color theme="1"/>
        <rFont val="新細明體"/>
        <family val="2"/>
      </rPr>
      <t>勉足維持生活</t>
    </r>
    <phoneticPr fontId="3" type="noConversion"/>
  </si>
  <si>
    <r>
      <rPr>
        <sz val="12"/>
        <color theme="1"/>
        <rFont val="新細明體"/>
        <family val="2"/>
      </rPr>
      <t>小康之家</t>
    </r>
    <phoneticPr fontId="3" type="noConversion"/>
  </si>
  <si>
    <r>
      <rPr>
        <sz val="12"/>
        <color theme="1"/>
        <rFont val="新細明體"/>
        <family val="2"/>
      </rPr>
      <t>低收入戶</t>
    </r>
    <phoneticPr fontId="3" type="noConversion"/>
  </si>
  <si>
    <r>
      <rPr>
        <sz val="12"/>
        <color theme="1"/>
        <rFont val="新細明體"/>
        <family val="2"/>
      </rPr>
      <t>中產以上</t>
    </r>
    <phoneticPr fontId="3" type="noConversion"/>
  </si>
  <si>
    <r>
      <rPr>
        <sz val="12"/>
        <color theme="1"/>
        <rFont val="新細明體"/>
        <family val="2"/>
      </rPr>
      <t>不詳</t>
    </r>
    <phoneticPr fontId="3" type="noConversion"/>
  </si>
  <si>
    <r>
      <t>107年</t>
    </r>
    <r>
      <rPr>
        <sz val="12"/>
        <color theme="1"/>
        <rFont val="新細明體"/>
        <family val="2"/>
      </rPr>
      <t/>
    </r>
  </si>
  <si>
    <r>
      <t>108年</t>
    </r>
    <r>
      <rPr>
        <sz val="12"/>
        <color theme="1"/>
        <rFont val="新細明體"/>
        <family val="2"/>
      </rPr>
      <t/>
    </r>
  </si>
  <si>
    <r>
      <t>109年</t>
    </r>
    <r>
      <rPr>
        <sz val="12"/>
        <color theme="1"/>
        <rFont val="新細明體"/>
        <family val="2"/>
      </rPr>
      <t/>
    </r>
  </si>
  <si>
    <r>
      <t>110年</t>
    </r>
    <r>
      <rPr>
        <sz val="12"/>
        <color theme="1"/>
        <rFont val="新細明體"/>
        <family val="2"/>
      </rPr>
      <t/>
    </r>
  </si>
  <si>
    <t>111年</t>
    <phoneticPr fontId="2" type="noConversion"/>
  </si>
  <si>
    <r>
      <rPr>
        <sz val="10"/>
        <rFont val="細明體"/>
        <family val="3"/>
        <charset val="136"/>
      </rPr>
      <t>資料來源：司法院</t>
    </r>
    <r>
      <rPr>
        <sz val="10"/>
        <rFont val="Times New Roman"/>
        <family val="1"/>
      </rPr>
      <t xml:space="preserve"> (</t>
    </r>
    <r>
      <rPr>
        <sz val="10"/>
        <rFont val="細明體"/>
        <family val="3"/>
        <charset val="136"/>
      </rPr>
      <t>表</t>
    </r>
    <r>
      <rPr>
        <sz val="10"/>
        <rFont val="Times New Roman"/>
        <family val="1"/>
      </rPr>
      <t>10914-02-05-05)</t>
    </r>
    <r>
      <rPr>
        <sz val="10"/>
        <rFont val="細明體"/>
        <family val="3"/>
        <charset val="136"/>
      </rPr>
      <t>。</t>
    </r>
    <r>
      <rPr>
        <sz val="10"/>
        <rFont val="Times New Roman"/>
        <family val="1"/>
      </rPr>
      <t xml:space="preserve">
</t>
    </r>
    <r>
      <rPr>
        <sz val="10"/>
        <rFont val="細明體"/>
        <family val="3"/>
        <charset val="136"/>
      </rPr>
      <t>說　　明：</t>
    </r>
    <r>
      <rPr>
        <sz val="10"/>
        <rFont val="Times New Roman"/>
        <family val="1"/>
      </rPr>
      <t xml:space="preserve">1. </t>
    </r>
    <r>
      <rPr>
        <sz val="10"/>
        <rFont val="細明體"/>
        <family val="3"/>
        <charset val="136"/>
      </rPr>
      <t>本表原始檔案總計人數和前表不同，敬請留意。
　　　　　</t>
    </r>
    <r>
      <rPr>
        <sz val="10"/>
        <rFont val="Times New Roman"/>
        <family val="1"/>
      </rPr>
      <t xml:space="preserve">2. </t>
    </r>
    <r>
      <rPr>
        <sz val="10"/>
        <rFont val="細明體"/>
        <family val="3"/>
        <charset val="136"/>
      </rPr>
      <t>本表刑事案件，係指當年度經法院裁判且經個案調查的少年。</t>
    </r>
    <phoneticPr fontId="3" type="noConversion"/>
  </si>
  <si>
    <t>%</t>
  </si>
  <si>
    <r>
      <rPr>
        <sz val="12"/>
        <color theme="1"/>
        <rFont val="新細明體"/>
        <family val="2"/>
        <charset val="136"/>
        <scheme val="minor"/>
      </rPr>
      <t>人</t>
    </r>
    <phoneticPr fontId="3" type="noConversion"/>
  </si>
  <si>
    <r>
      <t>110年</t>
    </r>
    <r>
      <rPr>
        <sz val="12"/>
        <color theme="1"/>
        <rFont val="新細明體"/>
        <family val="2"/>
        <charset val="136"/>
        <scheme val="minor"/>
      </rPr>
      <t/>
    </r>
  </si>
  <si>
    <r>
      <rPr>
        <sz val="10"/>
        <rFont val="新細明體"/>
        <family val="1"/>
        <charset val="136"/>
      </rPr>
      <t>資料來源：司法院</t>
    </r>
    <r>
      <rPr>
        <sz val="10"/>
        <rFont val="Times New Roman"/>
        <family val="1"/>
      </rPr>
      <t xml:space="preserve"> (</t>
    </r>
    <r>
      <rPr>
        <sz val="10"/>
        <rFont val="新細明體"/>
        <family val="1"/>
        <charset val="136"/>
      </rPr>
      <t>表</t>
    </r>
    <r>
      <rPr>
        <sz val="10"/>
        <rFont val="Times New Roman"/>
        <family val="1"/>
      </rPr>
      <t>10914-02-05-05)</t>
    </r>
    <r>
      <rPr>
        <sz val="10"/>
        <rFont val="新細明體"/>
        <family val="1"/>
        <charset val="136"/>
      </rPr>
      <t>。</t>
    </r>
    <phoneticPr fontId="3" type="noConversion"/>
  </si>
  <si>
    <r>
      <rPr>
        <sz val="10"/>
        <rFont val="新細明體"/>
        <family val="1"/>
        <charset val="136"/>
      </rPr>
      <t>說</t>
    </r>
    <r>
      <rPr>
        <sz val="10"/>
        <rFont val="Times New Roman"/>
        <family val="1"/>
      </rPr>
      <t xml:space="preserve">         </t>
    </r>
    <r>
      <rPr>
        <sz val="10"/>
        <rFont val="新細明體"/>
        <family val="1"/>
        <charset val="136"/>
      </rPr>
      <t>明：本表刑事案件，係指當年度經法院裁判且經個案調查的少年。</t>
    </r>
    <phoneticPr fontId="3" type="noConversion"/>
  </si>
  <si>
    <r>
      <t>102</t>
    </r>
    <r>
      <rPr>
        <sz val="12"/>
        <color theme="1"/>
        <rFont val="新細明體"/>
        <family val="2"/>
        <charset val="136"/>
      </rPr>
      <t>年</t>
    </r>
  </si>
  <si>
    <r>
      <t>104</t>
    </r>
    <r>
      <rPr>
        <sz val="12"/>
        <color theme="1"/>
        <rFont val="新細明體"/>
        <family val="2"/>
        <charset val="136"/>
      </rPr>
      <t>年</t>
    </r>
  </si>
  <si>
    <r>
      <t>105</t>
    </r>
    <r>
      <rPr>
        <sz val="12"/>
        <color theme="1"/>
        <rFont val="新細明體"/>
        <family val="2"/>
        <charset val="136"/>
      </rPr>
      <t>年</t>
    </r>
  </si>
  <si>
    <r>
      <rPr>
        <sz val="12"/>
        <color theme="1"/>
        <rFont val="新細明體"/>
        <family val="2"/>
        <charset val="136"/>
      </rPr>
      <t>人</t>
    </r>
  </si>
  <si>
    <r>
      <rPr>
        <sz val="12"/>
        <color theme="1"/>
        <rFont val="新細明體"/>
        <family val="2"/>
        <charset val="136"/>
      </rPr>
      <t>總計</t>
    </r>
  </si>
  <si>
    <r>
      <rPr>
        <sz val="12"/>
        <color theme="1"/>
        <rFont val="新細明體"/>
        <family val="2"/>
        <charset val="136"/>
      </rPr>
      <t>父母俱存</t>
    </r>
  </si>
  <si>
    <r>
      <rPr>
        <sz val="12"/>
        <color theme="1"/>
        <rFont val="新細明體"/>
        <family val="2"/>
        <charset val="136"/>
      </rPr>
      <t>母存父亡</t>
    </r>
  </si>
  <si>
    <r>
      <rPr>
        <sz val="12"/>
        <color theme="1"/>
        <rFont val="新細明體"/>
        <family val="2"/>
        <charset val="136"/>
      </rPr>
      <t>父存母亡</t>
    </r>
  </si>
  <si>
    <r>
      <rPr>
        <sz val="12"/>
        <color theme="1"/>
        <rFont val="新細明體"/>
        <family val="2"/>
        <charset val="136"/>
      </rPr>
      <t>父母俱亡</t>
    </r>
  </si>
  <si>
    <r>
      <t>107</t>
    </r>
    <r>
      <rPr>
        <sz val="12"/>
        <color theme="1"/>
        <rFont val="新細明體"/>
        <family val="2"/>
        <charset val="136"/>
      </rPr>
      <t>年</t>
    </r>
  </si>
  <si>
    <r>
      <t>108</t>
    </r>
    <r>
      <rPr>
        <sz val="12"/>
        <color theme="1"/>
        <rFont val="新細明體"/>
        <family val="2"/>
        <charset val="136"/>
      </rPr>
      <t>年</t>
    </r>
  </si>
  <si>
    <r>
      <t>109</t>
    </r>
    <r>
      <rPr>
        <sz val="12"/>
        <color theme="1"/>
        <rFont val="新細明體"/>
        <family val="2"/>
        <charset val="136"/>
      </rPr>
      <t>年</t>
    </r>
  </si>
  <si>
    <r>
      <t>110</t>
    </r>
    <r>
      <rPr>
        <sz val="12"/>
        <color theme="1"/>
        <rFont val="新細明體"/>
        <family val="2"/>
        <charset val="136"/>
      </rPr>
      <t>年</t>
    </r>
  </si>
  <si>
    <r>
      <t>111</t>
    </r>
    <r>
      <rPr>
        <sz val="12"/>
        <color theme="1"/>
        <rFont val="新細明體"/>
        <family val="2"/>
        <charset val="136"/>
      </rPr>
      <t>年</t>
    </r>
  </si>
  <si>
    <r>
      <t>106</t>
    </r>
    <r>
      <rPr>
        <sz val="12"/>
        <color theme="1"/>
        <rFont val="新細明體"/>
        <family val="2"/>
        <charset val="136"/>
      </rPr>
      <t>年</t>
    </r>
    <phoneticPr fontId="2" type="noConversion"/>
  </si>
  <si>
    <r>
      <t>103</t>
    </r>
    <r>
      <rPr>
        <sz val="12"/>
        <color theme="1"/>
        <rFont val="新細明體"/>
        <family val="2"/>
        <charset val="136"/>
      </rPr>
      <t>年</t>
    </r>
    <phoneticPr fontId="2" type="noConversion"/>
  </si>
  <si>
    <r>
      <rPr>
        <sz val="12"/>
        <color theme="1"/>
        <rFont val="新細明體"/>
        <family val="2"/>
        <charset val="136"/>
      </rPr>
      <t>父或母不詳</t>
    </r>
    <r>
      <rPr>
        <sz val="12"/>
        <color theme="1"/>
        <rFont val="Times New Roman"/>
        <family val="1"/>
      </rPr>
      <t xml:space="preserve"> </t>
    </r>
  </si>
  <si>
    <r>
      <rPr>
        <sz val="15"/>
        <rFont val="新細明體"/>
        <family val="1"/>
        <charset val="136"/>
      </rPr>
      <t>表</t>
    </r>
    <r>
      <rPr>
        <sz val="15"/>
        <rFont val="Times New Roman"/>
        <family val="1"/>
      </rPr>
      <t xml:space="preserve">3-2-20     </t>
    </r>
    <r>
      <rPr>
        <sz val="15"/>
        <rFont val="新細明體"/>
        <family val="1"/>
        <charset val="136"/>
      </rPr>
      <t>近</t>
    </r>
    <r>
      <rPr>
        <sz val="15"/>
        <rFont val="Times New Roman"/>
        <family val="1"/>
      </rPr>
      <t>10</t>
    </r>
    <r>
      <rPr>
        <sz val="15"/>
        <rFont val="新細明體"/>
        <family val="1"/>
        <charset val="136"/>
      </rPr>
      <t>年少年刑事案件父母婚姻狀況</t>
    </r>
    <phoneticPr fontId="3" type="noConversion"/>
  </si>
  <si>
    <r>
      <rPr>
        <sz val="12"/>
        <color theme="1"/>
        <rFont val="新細明體"/>
        <family val="2"/>
        <charset val="136"/>
        <scheme val="minor"/>
      </rPr>
      <t>父母離婚</t>
    </r>
    <phoneticPr fontId="3" type="noConversion"/>
  </si>
  <si>
    <r>
      <rPr>
        <sz val="12"/>
        <color theme="1"/>
        <rFont val="新細明體"/>
        <family val="2"/>
        <charset val="136"/>
        <scheme val="minor"/>
      </rPr>
      <t>正常</t>
    </r>
    <phoneticPr fontId="3" type="noConversion"/>
  </si>
  <si>
    <r>
      <rPr>
        <sz val="12"/>
        <color theme="1"/>
        <rFont val="新細明體"/>
        <family val="2"/>
        <charset val="136"/>
        <scheme val="minor"/>
      </rPr>
      <t>喪偶</t>
    </r>
    <phoneticPr fontId="3" type="noConversion"/>
  </si>
  <si>
    <r>
      <rPr>
        <sz val="12"/>
        <color theme="1"/>
        <rFont val="新細明體"/>
        <family val="2"/>
        <charset val="136"/>
        <scheme val="minor"/>
      </rPr>
      <t>離婚再婚</t>
    </r>
    <phoneticPr fontId="3" type="noConversion"/>
  </si>
  <si>
    <r>
      <rPr>
        <sz val="12"/>
        <color theme="1"/>
        <rFont val="新細明體"/>
        <family val="2"/>
        <charset val="136"/>
        <scheme val="minor"/>
      </rPr>
      <t>父母分居</t>
    </r>
    <phoneticPr fontId="3" type="noConversion"/>
  </si>
  <si>
    <r>
      <rPr>
        <sz val="12"/>
        <color theme="1"/>
        <rFont val="新細明體"/>
        <family val="2"/>
        <charset val="136"/>
        <scheme val="minor"/>
      </rPr>
      <t>喪偶再婚</t>
    </r>
    <phoneticPr fontId="3" type="noConversion"/>
  </si>
  <si>
    <r>
      <rPr>
        <sz val="12"/>
        <color theme="1"/>
        <rFont val="新細明體"/>
        <family val="2"/>
        <charset val="136"/>
      </rPr>
      <t>人</t>
    </r>
    <phoneticPr fontId="3" type="noConversion"/>
  </si>
  <si>
    <r>
      <t>102年</t>
    </r>
    <r>
      <rPr>
        <sz val="12"/>
        <color theme="1"/>
        <rFont val="新細明體"/>
        <family val="1"/>
        <charset val="136"/>
      </rPr>
      <t/>
    </r>
  </si>
  <si>
    <r>
      <t>103年</t>
    </r>
    <r>
      <rPr>
        <sz val="12"/>
        <color theme="1"/>
        <rFont val="新細明體"/>
        <family val="1"/>
        <charset val="136"/>
      </rPr>
      <t/>
    </r>
  </si>
  <si>
    <r>
      <t>104年</t>
    </r>
    <r>
      <rPr>
        <sz val="12"/>
        <color theme="1"/>
        <rFont val="新細明體"/>
        <family val="1"/>
        <charset val="136"/>
      </rPr>
      <t/>
    </r>
  </si>
  <si>
    <r>
      <t>105年</t>
    </r>
    <r>
      <rPr>
        <sz val="12"/>
        <color theme="1"/>
        <rFont val="新細明體"/>
        <family val="1"/>
        <charset val="136"/>
      </rPr>
      <t/>
    </r>
  </si>
  <si>
    <r>
      <rPr>
        <sz val="12"/>
        <color theme="1"/>
        <rFont val="新細明體"/>
        <family val="1"/>
        <charset val="136"/>
      </rPr>
      <t>人數</t>
    </r>
    <phoneticPr fontId="3" type="noConversion"/>
  </si>
  <si>
    <r>
      <rPr>
        <sz val="12"/>
        <color theme="1"/>
        <rFont val="新細明體"/>
        <family val="1"/>
        <charset val="136"/>
      </rPr>
      <t>百分比</t>
    </r>
    <phoneticPr fontId="3" type="noConversion"/>
  </si>
  <si>
    <r>
      <rPr>
        <sz val="12"/>
        <color theme="1"/>
        <rFont val="新細明體"/>
        <family val="1"/>
        <charset val="136"/>
      </rPr>
      <t>總計</t>
    </r>
    <phoneticPr fontId="3" type="noConversion"/>
  </si>
  <si>
    <t>總計</t>
    <phoneticPr fontId="40" type="noConversion"/>
  </si>
  <si>
    <t>吸食或施打煙毒或麻醉藥品以外之迷幻物品者</t>
  </si>
  <si>
    <t>有預備犯罪或犯罪未遂而為法所不罰之行為者</t>
  </si>
  <si>
    <t>無正當理由經常攜帶刀械者</t>
  </si>
  <si>
    <r>
      <rPr>
        <sz val="11"/>
        <color theme="1"/>
        <rFont val="新細明體"/>
        <family val="1"/>
        <charset val="136"/>
        <scheme val="major"/>
      </rPr>
      <t>經常逃學或逃家者</t>
    </r>
    <phoneticPr fontId="3" type="noConversion"/>
  </si>
  <si>
    <r>
      <rPr>
        <sz val="11"/>
        <color theme="1"/>
        <rFont val="新細明體"/>
        <family val="1"/>
        <charset val="136"/>
        <scheme val="major"/>
      </rPr>
      <t>經常與有犯罪習性之人交往者</t>
    </r>
    <phoneticPr fontId="3" type="noConversion"/>
  </si>
  <si>
    <r>
      <rPr>
        <sz val="11"/>
        <color theme="1"/>
        <rFont val="新細明體"/>
        <family val="1"/>
        <charset val="136"/>
        <scheme val="major"/>
      </rPr>
      <t>參加不良組織者</t>
    </r>
    <phoneticPr fontId="3" type="noConversion"/>
  </si>
  <si>
    <t>-</t>
    <phoneticPr fontId="40" type="noConversion"/>
  </si>
  <si>
    <r>
      <rPr>
        <sz val="11"/>
        <color theme="1"/>
        <rFont val="新細明體"/>
        <family val="1"/>
        <charset val="136"/>
        <scheme val="major"/>
      </rPr>
      <t>經常出入少年不當進入之場所者</t>
    </r>
    <phoneticPr fontId="3" type="noConversion"/>
  </si>
  <si>
    <r>
      <t>106年</t>
    </r>
    <r>
      <rPr>
        <sz val="12"/>
        <color theme="1"/>
        <rFont val="新細明體"/>
        <family val="1"/>
        <charset val="136"/>
      </rPr>
      <t/>
    </r>
  </si>
  <si>
    <r>
      <t>107年</t>
    </r>
    <r>
      <rPr>
        <sz val="12"/>
        <color theme="1"/>
        <rFont val="新細明體"/>
        <family val="1"/>
        <charset val="136"/>
      </rPr>
      <t/>
    </r>
  </si>
  <si>
    <r>
      <t>108年</t>
    </r>
    <r>
      <rPr>
        <sz val="12"/>
        <color theme="1"/>
        <rFont val="新細明體"/>
        <family val="1"/>
        <charset val="136"/>
      </rPr>
      <t/>
    </r>
  </si>
  <si>
    <r>
      <t>109年</t>
    </r>
    <r>
      <rPr>
        <sz val="12"/>
        <color theme="1"/>
        <rFont val="新細明體"/>
        <family val="1"/>
        <charset val="136"/>
      </rPr>
      <t/>
    </r>
  </si>
  <si>
    <r>
      <t>110年</t>
    </r>
    <r>
      <rPr>
        <sz val="12"/>
        <color theme="1"/>
        <rFont val="新細明體"/>
        <family val="1"/>
        <charset val="136"/>
      </rPr>
      <t/>
    </r>
  </si>
  <si>
    <t>吸食或施打煙毒或麻醉藥品以外之迷幻物品者</t>
    <phoneticPr fontId="2" type="noConversion"/>
  </si>
  <si>
    <t>有預備犯罪或犯罪未遂而為法所不罰之行為者</t>
    <phoneticPr fontId="2" type="noConversion"/>
  </si>
  <si>
    <t>無正當理由經常攜帶刀械者</t>
    <phoneticPr fontId="3" type="noConversion"/>
  </si>
  <si>
    <r>
      <rPr>
        <sz val="10"/>
        <color theme="1"/>
        <rFont val="新細明體"/>
        <family val="1"/>
        <charset val="136"/>
      </rPr>
      <t>資料來源：司法院</t>
    </r>
    <r>
      <rPr>
        <sz val="10"/>
        <color theme="1"/>
        <rFont val="Times New Roman"/>
        <family val="1"/>
      </rPr>
      <t xml:space="preserve"> (</t>
    </r>
    <r>
      <rPr>
        <sz val="10"/>
        <color theme="1"/>
        <rFont val="新細明體"/>
        <family val="1"/>
        <charset val="136"/>
      </rPr>
      <t>表</t>
    </r>
    <r>
      <rPr>
        <sz val="10"/>
        <color theme="1"/>
        <rFont val="Times New Roman"/>
        <family val="1"/>
      </rPr>
      <t>10914-03-04-05)</t>
    </r>
    <r>
      <rPr>
        <sz val="10"/>
        <color theme="1"/>
        <rFont val="新細明體"/>
        <family val="1"/>
        <charset val="136"/>
      </rPr>
      <t>。</t>
    </r>
    <phoneticPr fontId="3" type="noConversion"/>
  </si>
  <si>
    <r>
      <t>111</t>
    </r>
    <r>
      <rPr>
        <sz val="12"/>
        <color theme="1"/>
        <rFont val="新細明體"/>
        <family val="2"/>
        <charset val="136"/>
      </rPr>
      <t>年</t>
    </r>
    <phoneticPr fontId="2" type="noConversion"/>
  </si>
  <si>
    <r>
      <t>12</t>
    </r>
    <r>
      <rPr>
        <sz val="12"/>
        <color theme="1"/>
        <rFont val="新細明體"/>
        <family val="2"/>
      </rPr>
      <t>歲未滿</t>
    </r>
    <phoneticPr fontId="3" type="noConversion"/>
  </si>
  <si>
    <r>
      <t>12</t>
    </r>
    <r>
      <rPr>
        <sz val="12"/>
        <color theme="1"/>
        <rFont val="新細明體"/>
        <family val="2"/>
      </rPr>
      <t>歲以上</t>
    </r>
    <r>
      <rPr>
        <sz val="12"/>
        <rFont val="Times New Roman"/>
        <family val="1"/>
      </rPr>
      <t>13</t>
    </r>
    <r>
      <rPr>
        <sz val="12"/>
        <color theme="1"/>
        <rFont val="新細明體"/>
        <family val="2"/>
      </rPr>
      <t>歲未滿</t>
    </r>
    <phoneticPr fontId="3" type="noConversion"/>
  </si>
  <si>
    <r>
      <t>13</t>
    </r>
    <r>
      <rPr>
        <sz val="12"/>
        <color theme="1"/>
        <rFont val="新細明體"/>
        <family val="2"/>
      </rPr>
      <t>歲以上</t>
    </r>
    <r>
      <rPr>
        <sz val="12"/>
        <rFont val="Times New Roman"/>
        <family val="1"/>
      </rPr>
      <t>14</t>
    </r>
    <r>
      <rPr>
        <sz val="12"/>
        <color theme="1"/>
        <rFont val="新細明體"/>
        <family val="2"/>
      </rPr>
      <t>歲未滿</t>
    </r>
    <phoneticPr fontId="3" type="noConversion"/>
  </si>
  <si>
    <r>
      <t>14</t>
    </r>
    <r>
      <rPr>
        <sz val="12"/>
        <color theme="1"/>
        <rFont val="新細明體"/>
        <family val="2"/>
      </rPr>
      <t>歲以上</t>
    </r>
    <r>
      <rPr>
        <sz val="12"/>
        <rFont val="Times New Roman"/>
        <family val="1"/>
      </rPr>
      <t>15</t>
    </r>
    <r>
      <rPr>
        <sz val="12"/>
        <color theme="1"/>
        <rFont val="新細明體"/>
        <family val="2"/>
      </rPr>
      <t>歲未滿</t>
    </r>
    <phoneticPr fontId="3" type="noConversion"/>
  </si>
  <si>
    <r>
      <t>15</t>
    </r>
    <r>
      <rPr>
        <sz val="12"/>
        <color theme="1"/>
        <rFont val="新細明體"/>
        <family val="2"/>
      </rPr>
      <t>歲以上</t>
    </r>
    <r>
      <rPr>
        <sz val="12"/>
        <rFont val="Times New Roman"/>
        <family val="1"/>
      </rPr>
      <t>16</t>
    </r>
    <r>
      <rPr>
        <sz val="12"/>
        <color theme="1"/>
        <rFont val="新細明體"/>
        <family val="2"/>
      </rPr>
      <t>歲未滿</t>
    </r>
    <phoneticPr fontId="3" type="noConversion"/>
  </si>
  <si>
    <r>
      <t>16</t>
    </r>
    <r>
      <rPr>
        <sz val="12"/>
        <color theme="1"/>
        <rFont val="新細明體"/>
        <family val="2"/>
      </rPr>
      <t>歲以上</t>
    </r>
    <r>
      <rPr>
        <sz val="12"/>
        <rFont val="Times New Roman"/>
        <family val="1"/>
      </rPr>
      <t>17</t>
    </r>
    <r>
      <rPr>
        <sz val="12"/>
        <color theme="1"/>
        <rFont val="新細明體"/>
        <family val="2"/>
      </rPr>
      <t>歲未滿</t>
    </r>
    <phoneticPr fontId="3" type="noConversion"/>
  </si>
  <si>
    <r>
      <t>17</t>
    </r>
    <r>
      <rPr>
        <sz val="12"/>
        <color theme="1"/>
        <rFont val="新細明體"/>
        <family val="2"/>
      </rPr>
      <t>歲以上</t>
    </r>
    <r>
      <rPr>
        <sz val="12"/>
        <rFont val="Times New Roman"/>
        <family val="1"/>
      </rPr>
      <t>18</t>
    </r>
    <r>
      <rPr>
        <sz val="12"/>
        <color theme="1"/>
        <rFont val="新細明體"/>
        <family val="2"/>
      </rPr>
      <t>歲未滿</t>
    </r>
    <phoneticPr fontId="3" type="noConversion"/>
  </si>
  <si>
    <r>
      <rPr>
        <sz val="10"/>
        <rFont val="新細明體"/>
        <family val="1"/>
        <charset val="136"/>
      </rPr>
      <t>資料來源：司法院</t>
    </r>
    <r>
      <rPr>
        <sz val="10"/>
        <rFont val="Times New Roman"/>
        <family val="1"/>
      </rPr>
      <t xml:space="preserve"> (</t>
    </r>
    <r>
      <rPr>
        <sz val="10"/>
        <rFont val="新細明體"/>
        <family val="1"/>
        <charset val="136"/>
      </rPr>
      <t>表</t>
    </r>
    <r>
      <rPr>
        <sz val="10"/>
        <rFont val="Times New Roman"/>
        <family val="1"/>
      </rPr>
      <t>10914-03-04-05)</t>
    </r>
    <r>
      <rPr>
        <sz val="10"/>
        <rFont val="新細明體"/>
        <family val="1"/>
        <charset val="136"/>
      </rPr>
      <t>。</t>
    </r>
    <phoneticPr fontId="3" type="noConversion"/>
  </si>
  <si>
    <r>
      <t>111</t>
    </r>
    <r>
      <rPr>
        <sz val="12"/>
        <color theme="1"/>
        <rFont val="新細明體"/>
        <family val="1"/>
        <charset val="136"/>
      </rPr>
      <t>年</t>
    </r>
    <phoneticPr fontId="2" type="noConversion"/>
  </si>
  <si>
    <r>
      <rPr>
        <sz val="12"/>
        <color theme="1"/>
        <rFont val="新細明體"/>
        <family val="2"/>
      </rPr>
      <t>高中</t>
    </r>
    <r>
      <rPr>
        <sz val="12"/>
        <rFont val="Times New Roman"/>
        <family val="1"/>
      </rPr>
      <t>(</t>
    </r>
    <r>
      <rPr>
        <sz val="12"/>
        <color theme="1"/>
        <rFont val="新細明體"/>
        <family val="2"/>
      </rPr>
      <t>職</t>
    </r>
    <r>
      <rPr>
        <sz val="12"/>
        <rFont val="Times New Roman"/>
        <family val="1"/>
      </rPr>
      <t>)</t>
    </r>
    <r>
      <rPr>
        <sz val="12"/>
        <color theme="1"/>
        <rFont val="新細明體"/>
        <family val="2"/>
      </rPr>
      <t>肄業</t>
    </r>
    <r>
      <rPr>
        <sz val="12"/>
        <rFont val="Times New Roman"/>
        <family val="1"/>
      </rPr>
      <t/>
    </r>
    <phoneticPr fontId="3" type="noConversion"/>
  </si>
  <si>
    <r>
      <rPr>
        <sz val="12"/>
        <color theme="1"/>
        <rFont val="新細明體"/>
        <family val="2"/>
      </rPr>
      <t>國中肄業</t>
    </r>
    <r>
      <rPr>
        <sz val="12"/>
        <rFont val="Times New Roman"/>
        <family val="1"/>
      </rPr>
      <t/>
    </r>
    <phoneticPr fontId="3" type="noConversion"/>
  </si>
  <si>
    <r>
      <rPr>
        <sz val="12"/>
        <color theme="1"/>
        <rFont val="新細明體"/>
        <family val="2"/>
      </rPr>
      <t>國中畢業</t>
    </r>
    <phoneticPr fontId="3" type="noConversion"/>
  </si>
  <si>
    <r>
      <rPr>
        <sz val="12"/>
        <color theme="1"/>
        <rFont val="新細明體"/>
        <family val="2"/>
      </rPr>
      <t>大學</t>
    </r>
    <r>
      <rPr>
        <sz val="12"/>
        <rFont val="Times New Roman"/>
        <family val="1"/>
      </rPr>
      <t>(</t>
    </r>
    <r>
      <rPr>
        <sz val="12"/>
        <color theme="1"/>
        <rFont val="新細明體"/>
        <family val="2"/>
      </rPr>
      <t>專</t>
    </r>
    <r>
      <rPr>
        <sz val="12"/>
        <rFont val="Times New Roman"/>
        <family val="1"/>
      </rPr>
      <t>)</t>
    </r>
    <r>
      <rPr>
        <sz val="12"/>
        <color theme="1"/>
        <rFont val="新細明體"/>
        <family val="2"/>
      </rPr>
      <t>肄業</t>
    </r>
    <r>
      <rPr>
        <sz val="12"/>
        <rFont val="Times New Roman"/>
        <family val="1"/>
      </rPr>
      <t/>
    </r>
    <phoneticPr fontId="3" type="noConversion"/>
  </si>
  <si>
    <r>
      <rPr>
        <sz val="12"/>
        <color theme="1"/>
        <rFont val="新細明體"/>
        <family val="2"/>
      </rPr>
      <t>國小畢業</t>
    </r>
    <phoneticPr fontId="3" type="noConversion"/>
  </si>
  <si>
    <r>
      <rPr>
        <sz val="12"/>
        <color theme="1"/>
        <rFont val="新細明體"/>
        <family val="2"/>
      </rPr>
      <t>高中</t>
    </r>
    <r>
      <rPr>
        <sz val="12"/>
        <rFont val="Times New Roman"/>
        <family val="1"/>
      </rPr>
      <t>(</t>
    </r>
    <r>
      <rPr>
        <sz val="12"/>
        <color theme="1"/>
        <rFont val="新細明體"/>
        <family val="2"/>
      </rPr>
      <t>職</t>
    </r>
    <r>
      <rPr>
        <sz val="12"/>
        <rFont val="Times New Roman"/>
        <family val="1"/>
      </rPr>
      <t>)</t>
    </r>
    <r>
      <rPr>
        <sz val="12"/>
        <color theme="1"/>
        <rFont val="新細明體"/>
        <family val="2"/>
      </rPr>
      <t>畢業</t>
    </r>
    <phoneticPr fontId="3" type="noConversion"/>
  </si>
  <si>
    <r>
      <rPr>
        <sz val="12"/>
        <color theme="1"/>
        <rFont val="新細明體"/>
        <family val="2"/>
      </rPr>
      <t>國小肄業</t>
    </r>
    <phoneticPr fontId="3" type="noConversion"/>
  </si>
  <si>
    <r>
      <rPr>
        <sz val="12"/>
        <color theme="1"/>
        <rFont val="新細明體"/>
        <family val="2"/>
      </rPr>
      <t>自修</t>
    </r>
    <phoneticPr fontId="3" type="noConversion"/>
  </si>
  <si>
    <r>
      <rPr>
        <sz val="10"/>
        <rFont val="新細明體"/>
        <family val="1"/>
        <charset val="136"/>
      </rPr>
      <t>資料來源：司法院</t>
    </r>
    <r>
      <rPr>
        <sz val="10"/>
        <rFont val="Times New Roman"/>
        <family val="1"/>
      </rPr>
      <t xml:space="preserve"> (</t>
    </r>
    <r>
      <rPr>
        <sz val="10"/>
        <rFont val="新細明體"/>
        <family val="1"/>
        <charset val="136"/>
      </rPr>
      <t>表</t>
    </r>
    <r>
      <rPr>
        <sz val="10"/>
        <rFont val="Times New Roman"/>
        <family val="1"/>
      </rPr>
      <t xml:space="preserve">10914-03-05-05) </t>
    </r>
    <r>
      <rPr>
        <sz val="10"/>
        <rFont val="新細明體"/>
        <family val="1"/>
        <charset val="136"/>
      </rPr>
      <t>。</t>
    </r>
    <phoneticPr fontId="3" type="noConversion"/>
  </si>
  <si>
    <r>
      <rPr>
        <sz val="10"/>
        <rFont val="新細明體"/>
        <family val="1"/>
        <charset val="136"/>
      </rPr>
      <t>說　　明：</t>
    </r>
    <r>
      <rPr>
        <sz val="10"/>
        <rFont val="Times New Roman"/>
        <family val="1"/>
      </rPr>
      <t xml:space="preserve">1. </t>
    </r>
    <r>
      <rPr>
        <sz val="10"/>
        <rFont val="新細明體"/>
        <family val="1"/>
        <charset val="136"/>
      </rPr>
      <t>肄業含在校及離校。
　　　　　</t>
    </r>
    <r>
      <rPr>
        <sz val="10"/>
        <rFont val="Times New Roman"/>
        <family val="1"/>
      </rPr>
      <t xml:space="preserve">2. </t>
    </r>
    <r>
      <rPr>
        <sz val="10"/>
        <rFont val="新細明體"/>
        <family val="1"/>
        <charset val="136"/>
      </rPr>
      <t>本表虞犯</t>
    </r>
    <r>
      <rPr>
        <sz val="10"/>
        <rFont val="Times New Roman"/>
        <family val="1"/>
      </rPr>
      <t>/</t>
    </r>
    <r>
      <rPr>
        <sz val="10"/>
        <rFont val="新細明體"/>
        <family val="1"/>
        <charset val="136"/>
      </rPr>
      <t>曝險少年，係指當年度經法院裁定交付保護處分且經個案調查者。
　　　　　</t>
    </r>
    <r>
      <rPr>
        <sz val="10"/>
        <rFont val="Times New Roman"/>
        <family val="1"/>
      </rPr>
      <t>3.</t>
    </r>
    <r>
      <rPr>
        <sz val="10"/>
        <rFont val="新細明體"/>
        <family val="1"/>
        <charset val="136"/>
      </rPr>
      <t>基於少年事件處理法自</t>
    </r>
    <r>
      <rPr>
        <sz val="10"/>
        <rFont val="Times New Roman"/>
        <family val="1"/>
      </rPr>
      <t>108</t>
    </r>
    <r>
      <rPr>
        <sz val="10"/>
        <rFont val="新細明體"/>
        <family val="1"/>
        <charset val="136"/>
      </rPr>
      <t>年修正虞犯少年為曝險少年，本表於</t>
    </r>
    <r>
      <rPr>
        <sz val="10"/>
        <rFont val="Times New Roman"/>
        <family val="1"/>
      </rPr>
      <t>108</t>
    </r>
    <r>
      <rPr>
        <sz val="10"/>
        <rFont val="新細明體"/>
        <family val="1"/>
        <charset val="136"/>
      </rPr>
      <t>年</t>
    </r>
    <r>
      <rPr>
        <sz val="10"/>
        <rFont val="Times New Roman"/>
        <family val="1"/>
      </rPr>
      <t>6</t>
    </r>
    <r>
      <rPr>
        <sz val="10"/>
        <rFont val="新細明體"/>
        <family val="1"/>
        <charset val="136"/>
      </rPr>
      <t>月前為虞犯少年數據，其後為曝險少年數據。</t>
    </r>
    <phoneticPr fontId="40" type="noConversion"/>
  </si>
  <si>
    <r>
      <rPr>
        <sz val="12"/>
        <color theme="1"/>
        <rFont val="新細明體"/>
        <family val="2"/>
      </rPr>
      <t>人數</t>
    </r>
    <phoneticPr fontId="3" type="noConversion"/>
  </si>
  <si>
    <r>
      <rPr>
        <sz val="12"/>
        <color theme="1"/>
        <rFont val="新細明體"/>
        <family val="2"/>
      </rPr>
      <t>百分比</t>
    </r>
    <phoneticPr fontId="3" type="noConversion"/>
  </si>
  <si>
    <r>
      <rPr>
        <sz val="12"/>
        <color theme="1"/>
        <rFont val="新細明體"/>
        <family val="2"/>
      </rPr>
      <t>在校生</t>
    </r>
    <phoneticPr fontId="3" type="noConversion"/>
  </si>
  <si>
    <r>
      <rPr>
        <sz val="12"/>
        <color theme="1"/>
        <rFont val="新細明體"/>
        <family val="2"/>
      </rPr>
      <t>輟學未就業</t>
    </r>
    <phoneticPr fontId="3" type="noConversion"/>
  </si>
  <si>
    <r>
      <rPr>
        <sz val="12"/>
        <color theme="1"/>
        <rFont val="新細明體"/>
        <family val="2"/>
      </rPr>
      <t>就業</t>
    </r>
    <phoneticPr fontId="3" type="noConversion"/>
  </si>
  <si>
    <r>
      <rPr>
        <sz val="12"/>
        <color theme="1"/>
        <rFont val="新細明體"/>
        <family val="2"/>
      </rPr>
      <t>無業</t>
    </r>
    <phoneticPr fontId="3" type="noConversion"/>
  </si>
  <si>
    <r>
      <rPr>
        <sz val="12"/>
        <color theme="1"/>
        <rFont val="新細明體"/>
        <family val="2"/>
      </rPr>
      <t>半工半讀</t>
    </r>
    <phoneticPr fontId="3" type="noConversion"/>
  </si>
  <si>
    <r>
      <rPr>
        <sz val="10"/>
        <rFont val="新細明體"/>
        <family val="1"/>
        <charset val="136"/>
      </rPr>
      <t>資料來源：司法院</t>
    </r>
    <r>
      <rPr>
        <sz val="10"/>
        <rFont val="Times New Roman"/>
        <family val="1"/>
      </rPr>
      <t xml:space="preserve"> (</t>
    </r>
    <r>
      <rPr>
        <sz val="10"/>
        <rFont val="新細明體"/>
        <family val="1"/>
        <charset val="136"/>
      </rPr>
      <t>表</t>
    </r>
    <r>
      <rPr>
        <sz val="10"/>
        <rFont val="Times New Roman"/>
        <family val="1"/>
      </rPr>
      <t xml:space="preserve">10914-03-06-05) </t>
    </r>
    <r>
      <rPr>
        <sz val="10"/>
        <rFont val="新細明體"/>
        <family val="1"/>
        <charset val="136"/>
      </rPr>
      <t>。
說　　明：</t>
    </r>
    <r>
      <rPr>
        <sz val="10"/>
        <rFont val="Times New Roman"/>
        <family val="1"/>
      </rPr>
      <t>1.</t>
    </r>
    <r>
      <rPr>
        <sz val="10"/>
        <rFont val="新細明體"/>
        <family val="1"/>
        <charset val="136"/>
      </rPr>
      <t>本表虞犯</t>
    </r>
    <r>
      <rPr>
        <sz val="10"/>
        <rFont val="Times New Roman"/>
        <family val="1"/>
      </rPr>
      <t>/</t>
    </r>
    <r>
      <rPr>
        <sz val="10"/>
        <rFont val="新細明體"/>
        <family val="1"/>
        <charset val="136"/>
      </rPr>
      <t>曝險少年，係指當年度經法院裁定交付保護處分且經個案調查者。
　　　　　</t>
    </r>
    <r>
      <rPr>
        <sz val="10"/>
        <rFont val="Times New Roman"/>
        <family val="1"/>
      </rPr>
      <t>2.</t>
    </r>
    <r>
      <rPr>
        <sz val="10"/>
        <rFont val="新細明體"/>
        <family val="1"/>
        <charset val="136"/>
      </rPr>
      <t>基於少年事件處理法自</t>
    </r>
    <r>
      <rPr>
        <sz val="10"/>
        <rFont val="Times New Roman"/>
        <family val="1"/>
      </rPr>
      <t>108</t>
    </r>
    <r>
      <rPr>
        <sz val="10"/>
        <rFont val="新細明體"/>
        <family val="1"/>
        <charset val="136"/>
      </rPr>
      <t>年修正虞犯少年為曝險少年，本表於</t>
    </r>
    <r>
      <rPr>
        <sz val="10"/>
        <rFont val="Times New Roman"/>
        <family val="1"/>
      </rPr>
      <t>108</t>
    </r>
    <r>
      <rPr>
        <sz val="10"/>
        <rFont val="新細明體"/>
        <family val="1"/>
        <charset val="136"/>
      </rPr>
      <t>年</t>
    </r>
    <r>
      <rPr>
        <sz val="10"/>
        <rFont val="Times New Roman"/>
        <family val="1"/>
      </rPr>
      <t>6</t>
    </r>
    <r>
      <rPr>
        <sz val="10"/>
        <rFont val="新細明體"/>
        <family val="1"/>
        <charset val="136"/>
      </rPr>
      <t>月前為虞犯少年數據，其後為曝險少年數據。</t>
    </r>
    <phoneticPr fontId="3" type="noConversion"/>
  </si>
  <si>
    <r>
      <rPr>
        <sz val="15"/>
        <color theme="1"/>
        <rFont val="新細明體"/>
        <family val="1"/>
        <charset val="136"/>
      </rPr>
      <t>表</t>
    </r>
    <r>
      <rPr>
        <sz val="15"/>
        <color theme="1"/>
        <rFont val="Times New Roman"/>
        <family val="1"/>
      </rPr>
      <t>3-2-25</t>
    </r>
    <r>
      <rPr>
        <sz val="15"/>
        <color theme="1"/>
        <rFont val="新細明體"/>
        <family val="1"/>
        <charset val="136"/>
      </rPr>
      <t>　近</t>
    </r>
    <r>
      <rPr>
        <sz val="15"/>
        <color theme="1"/>
        <rFont val="Times New Roman"/>
        <family val="1"/>
      </rPr>
      <t>10</t>
    </r>
    <r>
      <rPr>
        <sz val="15"/>
        <color theme="1"/>
        <rFont val="新細明體"/>
        <family val="1"/>
        <charset val="136"/>
      </rPr>
      <t>年曝險少年交付保護處分之家庭經濟狀況</t>
    </r>
    <phoneticPr fontId="3" type="noConversion"/>
  </si>
  <si>
    <r>
      <rPr>
        <sz val="10"/>
        <rFont val="新細明體"/>
        <family val="1"/>
        <charset val="136"/>
      </rPr>
      <t>說　　明：</t>
    </r>
    <r>
      <rPr>
        <sz val="10"/>
        <rFont val="Times New Roman"/>
        <family val="1"/>
      </rPr>
      <t xml:space="preserve">1. </t>
    </r>
    <r>
      <rPr>
        <sz val="10"/>
        <rFont val="新細明體"/>
        <family val="1"/>
        <charset val="136"/>
      </rPr>
      <t>本表原始檔案總計人數和前表不同，敬請留意。
　　　　　</t>
    </r>
    <r>
      <rPr>
        <sz val="10"/>
        <rFont val="Times New Roman"/>
        <family val="1"/>
      </rPr>
      <t xml:space="preserve">2. </t>
    </r>
    <r>
      <rPr>
        <sz val="10"/>
        <rFont val="新細明體"/>
        <family val="1"/>
        <charset val="136"/>
      </rPr>
      <t>本表虞犯</t>
    </r>
    <r>
      <rPr>
        <sz val="10"/>
        <rFont val="Times New Roman"/>
        <family val="1"/>
      </rPr>
      <t>/</t>
    </r>
    <r>
      <rPr>
        <sz val="10"/>
        <rFont val="新細明體"/>
        <family val="1"/>
        <charset val="136"/>
      </rPr>
      <t>曝險少年，係指當年度經法院裁定交付保護處分且經個案調查者。
　　　　　</t>
    </r>
    <r>
      <rPr>
        <sz val="10"/>
        <rFont val="Times New Roman"/>
        <family val="1"/>
      </rPr>
      <t>3.</t>
    </r>
    <r>
      <rPr>
        <sz val="10"/>
        <rFont val="新細明體"/>
        <family val="1"/>
        <charset val="136"/>
      </rPr>
      <t>基於少年事件處理法自</t>
    </r>
    <r>
      <rPr>
        <sz val="10"/>
        <rFont val="Times New Roman"/>
        <family val="1"/>
      </rPr>
      <t>108</t>
    </r>
    <r>
      <rPr>
        <sz val="10"/>
        <rFont val="新細明體"/>
        <family val="1"/>
        <charset val="136"/>
      </rPr>
      <t>年修正虞犯少年為曝險少年，本表於</t>
    </r>
    <r>
      <rPr>
        <sz val="10"/>
        <rFont val="Times New Roman"/>
        <family val="1"/>
      </rPr>
      <t>108</t>
    </r>
    <r>
      <rPr>
        <sz val="10"/>
        <rFont val="新細明體"/>
        <family val="1"/>
        <charset val="136"/>
      </rPr>
      <t>年</t>
    </r>
    <r>
      <rPr>
        <sz val="10"/>
        <rFont val="Times New Roman"/>
        <family val="1"/>
      </rPr>
      <t>6</t>
    </r>
    <r>
      <rPr>
        <sz val="10"/>
        <rFont val="新細明體"/>
        <family val="1"/>
        <charset val="136"/>
      </rPr>
      <t>月前為虞犯少年數據，其後為曝險少年數據。</t>
    </r>
    <phoneticPr fontId="40" type="noConversion"/>
  </si>
  <si>
    <r>
      <t>102</t>
    </r>
    <r>
      <rPr>
        <sz val="12"/>
        <rFont val="PMingLiU"/>
        <family val="1"/>
        <charset val="136"/>
      </rPr>
      <t>年</t>
    </r>
    <phoneticPr fontId="2" type="noConversion"/>
  </si>
  <si>
    <r>
      <rPr>
        <sz val="12"/>
        <color theme="1"/>
        <rFont val="新細明體"/>
        <family val="2"/>
        <charset val="136"/>
        <scheme val="minor"/>
      </rPr>
      <t>人數</t>
    </r>
    <phoneticPr fontId="3" type="noConversion"/>
  </si>
  <si>
    <r>
      <rPr>
        <sz val="12"/>
        <color theme="1"/>
        <rFont val="新細明體"/>
        <family val="2"/>
        <charset val="136"/>
        <scheme val="minor"/>
      </rPr>
      <t>百分比</t>
    </r>
    <phoneticPr fontId="3" type="noConversion"/>
  </si>
  <si>
    <r>
      <rPr>
        <sz val="12"/>
        <color theme="1"/>
        <rFont val="新細明體"/>
        <family val="2"/>
        <charset val="136"/>
        <scheme val="minor"/>
      </rPr>
      <t>在校生</t>
    </r>
    <phoneticPr fontId="3" type="noConversion"/>
  </si>
  <si>
    <r>
      <rPr>
        <sz val="12"/>
        <color theme="1"/>
        <rFont val="新細明體"/>
        <family val="2"/>
        <charset val="136"/>
        <scheme val="minor"/>
      </rPr>
      <t>就業</t>
    </r>
    <phoneticPr fontId="3" type="noConversion"/>
  </si>
  <si>
    <r>
      <rPr>
        <sz val="12"/>
        <color theme="1"/>
        <rFont val="新細明體"/>
        <family val="2"/>
        <charset val="136"/>
        <scheme val="minor"/>
      </rPr>
      <t>輟學未就業</t>
    </r>
    <phoneticPr fontId="3" type="noConversion"/>
  </si>
  <si>
    <r>
      <rPr>
        <sz val="12"/>
        <color theme="1"/>
        <rFont val="新細明體"/>
        <family val="2"/>
        <charset val="136"/>
        <scheme val="minor"/>
      </rPr>
      <t>半工半讀</t>
    </r>
    <phoneticPr fontId="3" type="noConversion"/>
  </si>
  <si>
    <r>
      <rPr>
        <sz val="12"/>
        <color theme="1"/>
        <rFont val="新細明體"/>
        <family val="2"/>
        <charset val="136"/>
        <scheme val="minor"/>
      </rPr>
      <t>無業</t>
    </r>
    <phoneticPr fontId="3" type="noConversion"/>
  </si>
  <si>
    <r>
      <t>109</t>
    </r>
    <r>
      <rPr>
        <sz val="12"/>
        <rFont val="PMingLiU"/>
        <family val="1"/>
        <charset val="136"/>
      </rPr>
      <t>年</t>
    </r>
    <phoneticPr fontId="2" type="noConversion"/>
  </si>
  <si>
    <r>
      <rPr>
        <sz val="10"/>
        <rFont val="新細明體"/>
        <family val="1"/>
        <charset val="136"/>
      </rPr>
      <t>資料來源：司法院</t>
    </r>
    <r>
      <rPr>
        <sz val="10"/>
        <rFont val="Times New Roman"/>
        <family val="1"/>
      </rPr>
      <t xml:space="preserve"> (</t>
    </r>
    <r>
      <rPr>
        <sz val="10"/>
        <rFont val="新細明體"/>
        <family val="1"/>
        <charset val="136"/>
      </rPr>
      <t>表</t>
    </r>
    <r>
      <rPr>
        <sz val="10"/>
        <rFont val="Times New Roman"/>
        <family val="1"/>
      </rPr>
      <t xml:space="preserve">10914-03-06-05) </t>
    </r>
    <r>
      <rPr>
        <sz val="10"/>
        <rFont val="新細明體"/>
        <family val="1"/>
        <charset val="136"/>
      </rPr>
      <t>。</t>
    </r>
    <phoneticPr fontId="3" type="noConversion"/>
  </si>
  <si>
    <r>
      <rPr>
        <sz val="12"/>
        <color theme="1"/>
        <rFont val="新細明體"/>
        <family val="2"/>
      </rPr>
      <t>高中(職)肄業</t>
    </r>
    <r>
      <rPr>
        <sz val="12"/>
        <rFont val="Times New Roman"/>
        <family val="1"/>
      </rPr>
      <t/>
    </r>
    <phoneticPr fontId="3" type="noConversion"/>
  </si>
  <si>
    <r>
      <rPr>
        <sz val="12"/>
        <color theme="1"/>
        <rFont val="新細明體"/>
        <family val="2"/>
      </rPr>
      <t>國小肄業</t>
    </r>
    <r>
      <rPr>
        <sz val="12"/>
        <rFont val="Times New Roman"/>
        <family val="1"/>
      </rPr>
      <t/>
    </r>
    <phoneticPr fontId="3" type="noConversion"/>
  </si>
  <si>
    <t>高中(職)畢業</t>
    <phoneticPr fontId="3" type="noConversion"/>
  </si>
  <si>
    <r>
      <rPr>
        <sz val="12"/>
        <color theme="1"/>
        <rFont val="新細明體"/>
        <family val="2"/>
      </rPr>
      <t>不識字</t>
    </r>
    <r>
      <rPr>
        <sz val="12"/>
        <rFont val="Times New Roman"/>
        <family val="1"/>
      </rPr>
      <t xml:space="preserve"> </t>
    </r>
    <phoneticPr fontId="3" type="noConversion"/>
  </si>
  <si>
    <t>人</t>
    <phoneticPr fontId="23" type="noConversion"/>
  </si>
  <si>
    <r>
      <rPr>
        <sz val="15"/>
        <color theme="1"/>
        <rFont val="新細明體"/>
        <family val="1"/>
        <charset val="136"/>
      </rPr>
      <t>表</t>
    </r>
    <r>
      <rPr>
        <sz val="15"/>
        <color theme="1"/>
        <rFont val="Times New Roman"/>
        <family val="1"/>
      </rPr>
      <t>3-2-7</t>
    </r>
    <r>
      <rPr>
        <sz val="15"/>
        <color theme="1"/>
        <rFont val="新細明體"/>
        <family val="1"/>
        <charset val="136"/>
      </rPr>
      <t>　</t>
    </r>
    <r>
      <rPr>
        <sz val="15"/>
        <color theme="1"/>
        <rFont val="Times New Roman"/>
        <family val="1"/>
      </rPr>
      <t>111</t>
    </r>
    <r>
      <rPr>
        <sz val="15"/>
        <color theme="1"/>
        <rFont val="新細明體"/>
        <family val="1"/>
        <charset val="136"/>
      </rPr>
      <t>年觸法少年交付保護處分之年齡與主要罪名</t>
    </r>
    <phoneticPr fontId="40" type="noConversion"/>
  </si>
  <si>
    <r>
      <rPr>
        <sz val="12"/>
        <color theme="1"/>
        <rFont val="新細明體"/>
        <family val="1"/>
        <charset val="136"/>
      </rPr>
      <t>人</t>
    </r>
    <phoneticPr fontId="3" type="noConversion"/>
  </si>
  <si>
    <t>傷害罪</t>
  </si>
  <si>
    <t>詐欺罪</t>
  </si>
  <si>
    <t>竊盜罪</t>
  </si>
  <si>
    <t>妨害秩序罪</t>
  </si>
  <si>
    <t>妨害性自主罪</t>
  </si>
  <si>
    <t>公共危險罪</t>
  </si>
  <si>
    <t>妨害自由罪</t>
  </si>
  <si>
    <t>兒少性剝削防制條例</t>
  </si>
  <si>
    <t>毀棄損壞罪</t>
  </si>
  <si>
    <t>毒品危害防制條例</t>
  </si>
  <si>
    <t>恐嚇罪</t>
  </si>
  <si>
    <t>妨害名譽及信用罪</t>
  </si>
  <si>
    <t>賭博罪</t>
  </si>
  <si>
    <t>偽造文書印文罪</t>
  </si>
  <si>
    <t>殺人罪</t>
  </si>
  <si>
    <t>侵占罪</t>
  </si>
  <si>
    <t>洗錢防制法</t>
  </si>
  <si>
    <t>贓物罪</t>
  </si>
  <si>
    <t>妨害秘密罪</t>
  </si>
  <si>
    <t>藥事法</t>
  </si>
  <si>
    <t>妨害公務罪</t>
  </si>
  <si>
    <t>組織犯罪防制條例</t>
  </si>
  <si>
    <t>妨害電腦使用罪</t>
  </si>
  <si>
    <t>槍砲彈藥刀械管制條例</t>
  </si>
  <si>
    <t>妨害婚姻及家庭罪</t>
  </si>
  <si>
    <t>妨害風化罪</t>
  </si>
  <si>
    <t>性騷擾防治法</t>
  </si>
  <si>
    <t>藏匿人犯及湮滅證據罪</t>
  </si>
  <si>
    <t>家庭暴力防治法</t>
  </si>
  <si>
    <t>搶奪及海盜罪</t>
  </si>
  <si>
    <t>重利罪</t>
  </si>
  <si>
    <t>誣告罪</t>
  </si>
  <si>
    <t>偽證罪</t>
  </si>
  <si>
    <t>商標法</t>
  </si>
  <si>
    <t>廢棄物清理法</t>
  </si>
  <si>
    <t>背信罪</t>
  </si>
  <si>
    <t>偽造貨幣罪</t>
  </si>
  <si>
    <t>動物保護法</t>
  </si>
  <si>
    <t>妨害農工商罪</t>
    <phoneticPr fontId="2" type="noConversion"/>
  </si>
  <si>
    <t>電信法</t>
    <phoneticPr fontId="2" type="noConversion"/>
  </si>
  <si>
    <t>民用航空法</t>
    <phoneticPr fontId="2" type="noConversion"/>
  </si>
  <si>
    <t>選舉罷免法</t>
    <phoneticPr fontId="2" type="noConversion"/>
  </si>
  <si>
    <t>銀行法</t>
    <phoneticPr fontId="2" type="noConversion"/>
  </si>
  <si>
    <t>動物傳染病防治條例</t>
    <phoneticPr fontId="2" type="noConversion"/>
  </si>
  <si>
    <r>
      <rPr>
        <sz val="15"/>
        <color theme="1"/>
        <rFont val="新細明體"/>
        <family val="1"/>
        <charset val="136"/>
      </rPr>
      <t>表</t>
    </r>
    <r>
      <rPr>
        <sz val="15"/>
        <color theme="1"/>
        <rFont val="Times New Roman"/>
        <family val="1"/>
      </rPr>
      <t>3-2-6</t>
    </r>
    <r>
      <rPr>
        <sz val="15"/>
        <color theme="1"/>
        <rFont val="新細明體"/>
        <family val="1"/>
        <charset val="136"/>
      </rPr>
      <t>　近</t>
    </r>
    <r>
      <rPr>
        <sz val="15"/>
        <color theme="1"/>
        <rFont val="Times New Roman"/>
        <family val="1"/>
      </rPr>
      <t>10</t>
    </r>
    <r>
      <rPr>
        <sz val="15"/>
        <color theme="1"/>
        <rFont val="新細明體"/>
        <family val="1"/>
        <charset val="136"/>
      </rPr>
      <t>年觸法少年交付保護處分之性別與年齡</t>
    </r>
    <phoneticPr fontId="3" type="noConversion"/>
  </si>
  <si>
    <r>
      <t>106</t>
    </r>
    <r>
      <rPr>
        <sz val="12"/>
        <color theme="1"/>
        <rFont val="新細明體"/>
        <family val="2"/>
        <charset val="136"/>
        <scheme val="minor"/>
      </rPr>
      <t>年</t>
    </r>
    <phoneticPr fontId="3" type="noConversion"/>
  </si>
  <si>
    <r>
      <rPr>
        <sz val="12"/>
        <color theme="1"/>
        <rFont val="新細明體"/>
        <family val="2"/>
        <charset val="136"/>
        <scheme val="minor"/>
      </rPr>
      <t>男</t>
    </r>
    <phoneticPr fontId="3" type="noConversion"/>
  </si>
  <si>
    <r>
      <rPr>
        <sz val="12"/>
        <color theme="1"/>
        <rFont val="新細明體"/>
        <family val="2"/>
        <charset val="136"/>
        <scheme val="minor"/>
      </rPr>
      <t>女</t>
    </r>
    <phoneticPr fontId="3" type="noConversion"/>
  </si>
  <si>
    <r>
      <t>12</t>
    </r>
    <r>
      <rPr>
        <sz val="12"/>
        <color theme="1"/>
        <rFont val="新細明體"/>
        <family val="2"/>
        <charset val="136"/>
        <scheme val="minor"/>
      </rPr>
      <t>歲未滿</t>
    </r>
    <phoneticPr fontId="3" type="noConversion"/>
  </si>
  <si>
    <r>
      <t>12</t>
    </r>
    <r>
      <rPr>
        <sz val="12"/>
        <color theme="1"/>
        <rFont val="新細明體"/>
        <family val="2"/>
        <charset val="136"/>
        <scheme val="minor"/>
      </rPr>
      <t>歲以上</t>
    </r>
    <r>
      <rPr>
        <sz val="12"/>
        <rFont val="Times New Roman"/>
        <family val="1"/>
      </rPr>
      <t>13</t>
    </r>
    <r>
      <rPr>
        <sz val="12"/>
        <color theme="1"/>
        <rFont val="新細明體"/>
        <family val="2"/>
        <charset val="136"/>
        <scheme val="minor"/>
      </rPr>
      <t>歲未滿</t>
    </r>
    <phoneticPr fontId="3" type="noConversion"/>
  </si>
  <si>
    <r>
      <t>13</t>
    </r>
    <r>
      <rPr>
        <sz val="12"/>
        <color theme="1"/>
        <rFont val="新細明體"/>
        <family val="2"/>
        <charset val="136"/>
        <scheme val="minor"/>
      </rPr>
      <t>歲以上</t>
    </r>
    <r>
      <rPr>
        <sz val="12"/>
        <rFont val="Times New Roman"/>
        <family val="1"/>
      </rPr>
      <t>14</t>
    </r>
    <r>
      <rPr>
        <sz val="12"/>
        <color theme="1"/>
        <rFont val="新細明體"/>
        <family val="2"/>
        <charset val="136"/>
        <scheme val="minor"/>
      </rPr>
      <t>歲未滿</t>
    </r>
    <phoneticPr fontId="3" type="noConversion"/>
  </si>
  <si>
    <r>
      <t>14</t>
    </r>
    <r>
      <rPr>
        <sz val="12"/>
        <color theme="1"/>
        <rFont val="新細明體"/>
        <family val="2"/>
        <charset val="136"/>
        <scheme val="minor"/>
      </rPr>
      <t>歲以上</t>
    </r>
    <r>
      <rPr>
        <sz val="12"/>
        <rFont val="Times New Roman"/>
        <family val="1"/>
      </rPr>
      <t>15</t>
    </r>
    <r>
      <rPr>
        <sz val="12"/>
        <color theme="1"/>
        <rFont val="新細明體"/>
        <family val="2"/>
        <charset val="136"/>
        <scheme val="minor"/>
      </rPr>
      <t>歲未滿</t>
    </r>
    <phoneticPr fontId="3" type="noConversion"/>
  </si>
  <si>
    <r>
      <t>15</t>
    </r>
    <r>
      <rPr>
        <sz val="12"/>
        <color theme="1"/>
        <rFont val="新細明體"/>
        <family val="2"/>
        <charset val="136"/>
        <scheme val="minor"/>
      </rPr>
      <t>歲以上</t>
    </r>
    <r>
      <rPr>
        <sz val="12"/>
        <rFont val="Times New Roman"/>
        <family val="1"/>
      </rPr>
      <t>16</t>
    </r>
    <r>
      <rPr>
        <sz val="12"/>
        <color theme="1"/>
        <rFont val="新細明體"/>
        <family val="2"/>
        <charset val="136"/>
        <scheme val="minor"/>
      </rPr>
      <t>歲未滿</t>
    </r>
    <phoneticPr fontId="3" type="noConversion"/>
  </si>
  <si>
    <r>
      <t>16</t>
    </r>
    <r>
      <rPr>
        <sz val="12"/>
        <color theme="1"/>
        <rFont val="新細明體"/>
        <family val="2"/>
        <charset val="136"/>
        <scheme val="minor"/>
      </rPr>
      <t>歲以上</t>
    </r>
    <r>
      <rPr>
        <sz val="12"/>
        <rFont val="Times New Roman"/>
        <family val="1"/>
      </rPr>
      <t>17</t>
    </r>
    <r>
      <rPr>
        <sz val="12"/>
        <color theme="1"/>
        <rFont val="新細明體"/>
        <family val="2"/>
        <charset val="136"/>
        <scheme val="minor"/>
      </rPr>
      <t>歲未滿</t>
    </r>
    <phoneticPr fontId="3" type="noConversion"/>
  </si>
  <si>
    <r>
      <t>17</t>
    </r>
    <r>
      <rPr>
        <sz val="12"/>
        <color theme="1"/>
        <rFont val="新細明體"/>
        <family val="2"/>
        <charset val="136"/>
        <scheme val="minor"/>
      </rPr>
      <t>歲以上</t>
    </r>
    <r>
      <rPr>
        <sz val="12"/>
        <rFont val="Times New Roman"/>
        <family val="1"/>
      </rPr>
      <t>18</t>
    </r>
    <r>
      <rPr>
        <sz val="12"/>
        <color theme="1"/>
        <rFont val="新細明體"/>
        <family val="2"/>
        <charset val="136"/>
        <scheme val="minor"/>
      </rPr>
      <t>歲未滿</t>
    </r>
    <phoneticPr fontId="3" type="noConversion"/>
  </si>
  <si>
    <t>人</t>
    <phoneticPr fontId="2" type="noConversion"/>
  </si>
  <si>
    <t>％</t>
    <phoneticPr fontId="2" type="noConversion"/>
  </si>
  <si>
    <t>-</t>
    <phoneticPr fontId="2" type="noConversion"/>
  </si>
  <si>
    <r>
      <rPr>
        <sz val="15"/>
        <color theme="1"/>
        <rFont val="新細明體"/>
        <family val="1"/>
        <charset val="136"/>
      </rPr>
      <t>表</t>
    </r>
    <r>
      <rPr>
        <sz val="15"/>
        <color theme="1"/>
        <rFont val="Times New Roman"/>
        <family val="1"/>
      </rPr>
      <t>3-2-5</t>
    </r>
    <r>
      <rPr>
        <sz val="15"/>
        <color theme="1"/>
        <rFont val="新細明體"/>
        <family val="1"/>
        <charset val="136"/>
      </rPr>
      <t>　近</t>
    </r>
    <r>
      <rPr>
        <sz val="15"/>
        <color theme="1"/>
        <rFont val="Times New Roman"/>
        <family val="1"/>
      </rPr>
      <t>10</t>
    </r>
    <r>
      <rPr>
        <sz val="15"/>
        <color theme="1"/>
        <rFont val="新細明體"/>
        <family val="1"/>
        <charset val="136"/>
      </rPr>
      <t>年觸法少年交付保護處分之罪名</t>
    </r>
    <phoneticPr fontId="3" type="noConversion"/>
  </si>
  <si>
    <r>
      <t>101</t>
    </r>
    <r>
      <rPr>
        <sz val="12"/>
        <color theme="1"/>
        <rFont val="新細明體"/>
        <family val="2"/>
        <charset val="136"/>
        <scheme val="minor"/>
      </rPr>
      <t>年</t>
    </r>
    <phoneticPr fontId="2" type="noConversion"/>
  </si>
  <si>
    <r>
      <rPr>
        <sz val="12"/>
        <color theme="1"/>
        <rFont val="新細明體"/>
        <family val="2"/>
        <charset val="136"/>
        <scheme val="minor"/>
      </rPr>
      <t>傷害罪</t>
    </r>
    <phoneticPr fontId="3" type="noConversion"/>
  </si>
  <si>
    <r>
      <rPr>
        <sz val="12"/>
        <color theme="1"/>
        <rFont val="新細明體"/>
        <family val="2"/>
        <charset val="136"/>
        <scheme val="minor"/>
      </rPr>
      <t>詐欺罪</t>
    </r>
    <phoneticPr fontId="3" type="noConversion"/>
  </si>
  <si>
    <r>
      <rPr>
        <sz val="12"/>
        <color theme="1"/>
        <rFont val="新細明體"/>
        <family val="2"/>
        <charset val="136"/>
        <scheme val="minor"/>
      </rPr>
      <t>竊盜罪</t>
    </r>
    <phoneticPr fontId="3" type="noConversion"/>
  </si>
  <si>
    <r>
      <rPr>
        <sz val="12"/>
        <color theme="1"/>
        <rFont val="新細明體"/>
        <family val="2"/>
        <charset val="136"/>
        <scheme val="minor"/>
      </rPr>
      <t>妨害秩序罪</t>
    </r>
    <phoneticPr fontId="3" type="noConversion"/>
  </si>
  <si>
    <r>
      <rPr>
        <sz val="12"/>
        <color theme="1"/>
        <rFont val="新細明體"/>
        <family val="2"/>
        <charset val="136"/>
        <scheme val="minor"/>
      </rPr>
      <t>妨害性自主罪</t>
    </r>
    <phoneticPr fontId="3" type="noConversion"/>
  </si>
  <si>
    <r>
      <rPr>
        <sz val="12"/>
        <color theme="1"/>
        <rFont val="新細明體"/>
        <family val="2"/>
        <charset val="136"/>
        <scheme val="minor"/>
      </rPr>
      <t>公共危險罪</t>
    </r>
    <phoneticPr fontId="3" type="noConversion"/>
  </si>
  <si>
    <r>
      <rPr>
        <sz val="12"/>
        <color theme="1"/>
        <rFont val="新細明體"/>
        <family val="2"/>
        <charset val="136"/>
        <scheme val="minor"/>
      </rPr>
      <t>妨害自由罪</t>
    </r>
    <phoneticPr fontId="3" type="noConversion"/>
  </si>
  <si>
    <t>兒少性剝削防制條例</t>
    <phoneticPr fontId="3" type="noConversion"/>
  </si>
  <si>
    <r>
      <rPr>
        <sz val="12"/>
        <color theme="1"/>
        <rFont val="新細明體"/>
        <family val="2"/>
        <charset val="136"/>
        <scheme val="minor"/>
      </rPr>
      <t>毀棄損壞罪</t>
    </r>
    <phoneticPr fontId="3" type="noConversion"/>
  </si>
  <si>
    <r>
      <rPr>
        <sz val="12"/>
        <color theme="1"/>
        <rFont val="新細明體"/>
        <family val="2"/>
        <charset val="136"/>
        <scheme val="minor"/>
      </rPr>
      <t>毒品危害防制條例</t>
    </r>
    <phoneticPr fontId="3" type="noConversion"/>
  </si>
  <si>
    <r>
      <rPr>
        <sz val="12"/>
        <color theme="1"/>
        <rFont val="新細明體"/>
        <family val="2"/>
        <charset val="136"/>
        <scheme val="minor"/>
      </rPr>
      <t>恐嚇罪</t>
    </r>
    <phoneticPr fontId="3" type="noConversion"/>
  </si>
  <si>
    <r>
      <rPr>
        <sz val="12"/>
        <color theme="1"/>
        <rFont val="新細明體"/>
        <family val="2"/>
        <charset val="136"/>
        <scheme val="minor"/>
      </rPr>
      <t>妨害名譽及信用罪</t>
    </r>
    <phoneticPr fontId="3" type="noConversion"/>
  </si>
  <si>
    <r>
      <rPr>
        <sz val="12"/>
        <color theme="1"/>
        <rFont val="新細明體"/>
        <family val="2"/>
        <charset val="136"/>
        <scheme val="minor"/>
      </rPr>
      <t>賭博罪</t>
    </r>
    <phoneticPr fontId="3" type="noConversion"/>
  </si>
  <si>
    <r>
      <rPr>
        <sz val="12"/>
        <color theme="1"/>
        <rFont val="新細明體"/>
        <family val="2"/>
        <charset val="136"/>
        <scheme val="minor"/>
      </rPr>
      <t>偽造文書印文罪</t>
    </r>
    <phoneticPr fontId="3" type="noConversion"/>
  </si>
  <si>
    <r>
      <rPr>
        <sz val="12"/>
        <color theme="1"/>
        <rFont val="新細明體"/>
        <family val="2"/>
        <charset val="136"/>
        <scheme val="minor"/>
      </rPr>
      <t>殺人罪</t>
    </r>
    <phoneticPr fontId="3" type="noConversion"/>
  </si>
  <si>
    <r>
      <rPr>
        <sz val="12"/>
        <color theme="1"/>
        <rFont val="新細明體"/>
        <family val="2"/>
        <charset val="136"/>
        <scheme val="minor"/>
      </rPr>
      <t>侵占罪</t>
    </r>
    <phoneticPr fontId="3" type="noConversion"/>
  </si>
  <si>
    <r>
      <rPr>
        <sz val="12"/>
        <color theme="1"/>
        <rFont val="新細明體"/>
        <family val="2"/>
        <charset val="136"/>
        <scheme val="minor"/>
      </rPr>
      <t>贓物罪</t>
    </r>
    <phoneticPr fontId="3" type="noConversion"/>
  </si>
  <si>
    <r>
      <rPr>
        <sz val="12"/>
        <color theme="1"/>
        <rFont val="新細明體"/>
        <family val="2"/>
        <charset val="136"/>
        <scheme val="minor"/>
      </rPr>
      <t>妨害秘密罪</t>
    </r>
    <phoneticPr fontId="3" type="noConversion"/>
  </si>
  <si>
    <r>
      <rPr>
        <sz val="12"/>
        <color theme="1"/>
        <rFont val="新細明體"/>
        <family val="2"/>
        <charset val="136"/>
        <scheme val="minor"/>
      </rPr>
      <t>藥事法</t>
    </r>
    <phoneticPr fontId="3" type="noConversion"/>
  </si>
  <si>
    <r>
      <rPr>
        <sz val="12"/>
        <color theme="1"/>
        <rFont val="新細明體"/>
        <family val="2"/>
        <charset val="136"/>
        <scheme val="minor"/>
      </rPr>
      <t>妨害公務罪</t>
    </r>
    <phoneticPr fontId="3" type="noConversion"/>
  </si>
  <si>
    <r>
      <rPr>
        <sz val="12"/>
        <color theme="1"/>
        <rFont val="新細明體"/>
        <family val="2"/>
        <charset val="136"/>
        <scheme val="minor"/>
      </rPr>
      <t>妨害電腦使用罪</t>
    </r>
    <phoneticPr fontId="3" type="noConversion"/>
  </si>
  <si>
    <r>
      <rPr>
        <sz val="12"/>
        <color theme="1"/>
        <rFont val="新細明體"/>
        <family val="2"/>
        <charset val="136"/>
        <scheme val="minor"/>
      </rPr>
      <t>槍砲彈藥刀械管制條例</t>
    </r>
    <phoneticPr fontId="3" type="noConversion"/>
  </si>
  <si>
    <r>
      <rPr>
        <sz val="12"/>
        <color theme="1"/>
        <rFont val="新細明體"/>
        <family val="2"/>
        <charset val="136"/>
        <scheme val="minor"/>
      </rPr>
      <t>妨害婚姻及家庭罪</t>
    </r>
    <phoneticPr fontId="3" type="noConversion"/>
  </si>
  <si>
    <t>妨害風化罪</t>
    <phoneticPr fontId="3" type="noConversion"/>
  </si>
  <si>
    <t>藏匿人犯及湮滅證據罪</t>
    <phoneticPr fontId="3" type="noConversion"/>
  </si>
  <si>
    <r>
      <rPr>
        <sz val="12"/>
        <color theme="1"/>
        <rFont val="新細明體"/>
        <family val="2"/>
        <charset val="136"/>
        <scheme val="minor"/>
      </rPr>
      <t>搶奪及海盜罪</t>
    </r>
    <phoneticPr fontId="3" type="noConversion"/>
  </si>
  <si>
    <r>
      <rPr>
        <sz val="12"/>
        <color theme="1"/>
        <rFont val="新細明體"/>
        <family val="2"/>
        <charset val="136"/>
        <scheme val="minor"/>
      </rPr>
      <t>重利罪</t>
    </r>
    <phoneticPr fontId="3" type="noConversion"/>
  </si>
  <si>
    <r>
      <rPr>
        <sz val="12"/>
        <color theme="1"/>
        <rFont val="新細明體"/>
        <family val="2"/>
        <charset val="136"/>
        <scheme val="minor"/>
      </rPr>
      <t>誣告罪</t>
    </r>
    <phoneticPr fontId="3" type="noConversion"/>
  </si>
  <si>
    <r>
      <rPr>
        <sz val="12"/>
        <color theme="1"/>
        <rFont val="新細明體"/>
        <family val="2"/>
        <charset val="136"/>
        <scheme val="minor"/>
      </rPr>
      <t>強盜罪</t>
    </r>
    <phoneticPr fontId="3" type="noConversion"/>
  </si>
  <si>
    <r>
      <rPr>
        <sz val="12"/>
        <color theme="1"/>
        <rFont val="新細明體"/>
        <family val="2"/>
        <charset val="136"/>
        <scheme val="minor"/>
      </rPr>
      <t>偽證罪</t>
    </r>
    <phoneticPr fontId="3" type="noConversion"/>
  </si>
  <si>
    <r>
      <rPr>
        <sz val="12"/>
        <color theme="1"/>
        <rFont val="新細明體"/>
        <family val="2"/>
        <charset val="136"/>
        <scheme val="minor"/>
      </rPr>
      <t>商標法</t>
    </r>
    <phoneticPr fontId="3" type="noConversion"/>
  </si>
  <si>
    <r>
      <rPr>
        <sz val="12"/>
        <color theme="1"/>
        <rFont val="新細明體"/>
        <family val="2"/>
        <charset val="136"/>
        <scheme val="minor"/>
      </rPr>
      <t>著作權法</t>
    </r>
    <phoneticPr fontId="3" type="noConversion"/>
  </si>
  <si>
    <r>
      <rPr>
        <sz val="12"/>
        <color theme="1"/>
        <rFont val="新細明體"/>
        <family val="2"/>
        <charset val="136"/>
        <scheme val="minor"/>
      </rPr>
      <t>背信罪</t>
    </r>
    <phoneticPr fontId="3" type="noConversion"/>
  </si>
  <si>
    <r>
      <rPr>
        <sz val="12"/>
        <color theme="1"/>
        <rFont val="新細明體"/>
        <family val="2"/>
        <charset val="136"/>
        <scheme val="minor"/>
      </rPr>
      <t>偽造貨幣罪</t>
    </r>
    <phoneticPr fontId="3" type="noConversion"/>
  </si>
  <si>
    <t>脫逃罪</t>
    <phoneticPr fontId="3" type="noConversion"/>
  </si>
  <si>
    <r>
      <rPr>
        <sz val="12"/>
        <color theme="1"/>
        <rFont val="新細明體"/>
        <family val="2"/>
        <charset val="136"/>
        <scheme val="minor"/>
      </rPr>
      <t>野生動物保育法</t>
    </r>
  </si>
  <si>
    <t>就業服務法</t>
  </si>
  <si>
    <r>
      <rPr>
        <sz val="12"/>
        <color theme="1"/>
        <rFont val="新細明體"/>
        <family val="2"/>
        <charset val="136"/>
        <scheme val="minor"/>
      </rPr>
      <t>森林法</t>
    </r>
    <phoneticPr fontId="3" type="noConversion"/>
  </si>
  <si>
    <r>
      <rPr>
        <sz val="12"/>
        <color theme="1"/>
        <rFont val="新細明體"/>
        <family val="2"/>
        <charset val="136"/>
        <scheme val="minor"/>
      </rPr>
      <t>遺棄罪</t>
    </r>
    <phoneticPr fontId="3" type="noConversion"/>
  </si>
  <si>
    <t>人口販運防治法</t>
    <phoneticPr fontId="2" type="noConversion"/>
  </si>
  <si>
    <r>
      <rPr>
        <sz val="12"/>
        <color theme="1"/>
        <rFont val="新細明體"/>
        <family val="2"/>
        <charset val="136"/>
        <scheme val="minor"/>
      </rPr>
      <t>戶籍法</t>
    </r>
    <phoneticPr fontId="3" type="noConversion"/>
  </si>
  <si>
    <r>
      <rPr>
        <sz val="12"/>
        <color theme="1"/>
        <rFont val="新細明體"/>
        <family val="2"/>
        <charset val="136"/>
        <scheme val="minor"/>
      </rPr>
      <t>水土保持法</t>
    </r>
    <phoneticPr fontId="3" type="noConversion"/>
  </si>
  <si>
    <r>
      <rPr>
        <sz val="12"/>
        <color theme="1"/>
        <rFont val="新細明體"/>
        <family val="2"/>
        <charset val="136"/>
        <scheme val="minor"/>
      </rPr>
      <t>民用航空法</t>
    </r>
  </si>
  <si>
    <r>
      <rPr>
        <sz val="12"/>
        <color theme="1"/>
        <rFont val="新細明體"/>
        <family val="2"/>
        <charset val="136"/>
        <scheme val="minor"/>
      </rPr>
      <t>妨害農工商罪</t>
    </r>
    <phoneticPr fontId="3" type="noConversion"/>
  </si>
  <si>
    <r>
      <rPr>
        <sz val="12"/>
        <color theme="1"/>
        <rFont val="新細明體"/>
        <family val="2"/>
        <charset val="136"/>
        <scheme val="minor"/>
      </rPr>
      <t>妨礙投票罪</t>
    </r>
    <phoneticPr fontId="3" type="noConversion"/>
  </si>
  <si>
    <t>災害防救法</t>
    <phoneticPr fontId="2" type="noConversion"/>
  </si>
  <si>
    <r>
      <rPr>
        <sz val="12"/>
        <color theme="1"/>
        <rFont val="新細明體"/>
        <family val="2"/>
        <charset val="136"/>
        <scheme val="minor"/>
      </rPr>
      <t>性騷擾防治法</t>
    </r>
  </si>
  <si>
    <r>
      <rPr>
        <sz val="12"/>
        <color theme="1"/>
        <rFont val="新細明體"/>
        <family val="2"/>
        <charset val="136"/>
        <scheme val="minor"/>
      </rPr>
      <t>洗錢防制法</t>
    </r>
    <phoneticPr fontId="3" type="noConversion"/>
  </si>
  <si>
    <r>
      <rPr>
        <sz val="12"/>
        <color theme="1"/>
        <rFont val="新細明體"/>
        <family val="2"/>
        <charset val="136"/>
        <scheme val="minor"/>
      </rPr>
      <t>個人資料保護法</t>
    </r>
  </si>
  <si>
    <r>
      <rPr>
        <sz val="12"/>
        <color theme="1"/>
        <rFont val="新細明體"/>
        <family val="2"/>
        <charset val="136"/>
        <scheme val="minor"/>
      </rPr>
      <t>家庭暴力防治法</t>
    </r>
    <phoneticPr fontId="3" type="noConversion"/>
  </si>
  <si>
    <r>
      <rPr>
        <sz val="12"/>
        <color theme="1"/>
        <rFont val="新細明體"/>
        <family val="2"/>
        <charset val="136"/>
        <scheme val="minor"/>
      </rPr>
      <t>偽造有價證券罪</t>
    </r>
    <phoneticPr fontId="3" type="noConversion"/>
  </si>
  <si>
    <r>
      <rPr>
        <sz val="12"/>
        <color theme="1"/>
        <rFont val="新細明體"/>
        <family val="2"/>
        <charset val="136"/>
        <scheme val="minor"/>
      </rPr>
      <t>動物保護法</t>
    </r>
  </si>
  <si>
    <r>
      <rPr>
        <sz val="12"/>
        <color theme="1"/>
        <rFont val="新細明體"/>
        <family val="2"/>
        <charset val="136"/>
        <scheme val="minor"/>
      </rPr>
      <t>組織犯罪防制條例</t>
    </r>
    <phoneticPr fontId="3" type="noConversion"/>
  </si>
  <si>
    <r>
      <rPr>
        <sz val="12"/>
        <color theme="1"/>
        <rFont val="新細明體"/>
        <family val="2"/>
        <charset val="136"/>
        <scheme val="minor"/>
      </rPr>
      <t>陸海空軍刑法</t>
    </r>
  </si>
  <si>
    <t>傳染病防治法</t>
    <phoneticPr fontId="2" type="noConversion"/>
  </si>
  <si>
    <r>
      <rPr>
        <sz val="12"/>
        <color theme="1"/>
        <rFont val="新細明體"/>
        <family val="2"/>
        <charset val="136"/>
        <scheme val="minor"/>
      </rPr>
      <t>電子遊戲場業管理條例</t>
    </r>
    <phoneticPr fontId="3" type="noConversion"/>
  </si>
  <si>
    <r>
      <rPr>
        <sz val="12"/>
        <color theme="1"/>
        <rFont val="新細明體"/>
        <family val="2"/>
        <charset val="136"/>
        <scheme val="minor"/>
      </rPr>
      <t>電信法</t>
    </r>
    <phoneticPr fontId="3" type="noConversion"/>
  </si>
  <si>
    <r>
      <rPr>
        <sz val="12"/>
        <color theme="1"/>
        <rFont val="新細明體"/>
        <family val="2"/>
        <charset val="136"/>
        <scheme val="minor"/>
      </rPr>
      <t>電業法</t>
    </r>
  </si>
  <si>
    <r>
      <rPr>
        <sz val="12"/>
        <color theme="1"/>
        <rFont val="新細明體"/>
        <family val="2"/>
        <charset val="136"/>
        <scheme val="minor"/>
      </rPr>
      <t>墮胎罪</t>
    </r>
    <phoneticPr fontId="3" type="noConversion"/>
  </si>
  <si>
    <r>
      <rPr>
        <sz val="12"/>
        <color theme="1"/>
        <rFont val="新細明體"/>
        <family val="2"/>
        <charset val="136"/>
        <scheme val="minor"/>
      </rPr>
      <t>廢棄物清理法</t>
    </r>
  </si>
  <si>
    <r>
      <rPr>
        <sz val="12"/>
        <color theme="1"/>
        <rFont val="新細明體"/>
        <family val="2"/>
        <charset val="136"/>
        <scheme val="minor"/>
      </rPr>
      <t>擄人勒贖罪</t>
    </r>
    <phoneticPr fontId="3" type="noConversion"/>
  </si>
  <si>
    <r>
      <rPr>
        <sz val="12"/>
        <color theme="1"/>
        <rFont val="新細明體"/>
        <family val="2"/>
        <charset val="136"/>
        <scheme val="minor"/>
      </rPr>
      <t>選舉罷免法</t>
    </r>
  </si>
  <si>
    <t>褻瀆祀典及侵害墳墓屍體罪</t>
  </si>
  <si>
    <r>
      <rPr>
        <sz val="12"/>
        <color theme="1"/>
        <rFont val="新細明體"/>
        <family val="2"/>
        <charset val="136"/>
        <scheme val="minor"/>
      </rPr>
      <t>醫療法</t>
    </r>
  </si>
  <si>
    <t>嚴重特殊傳染性肺炎防治及紓困振興特別條例</t>
    <phoneticPr fontId="2" type="noConversion"/>
  </si>
  <si>
    <r>
      <rPr>
        <sz val="12"/>
        <color theme="1"/>
        <rFont val="新細明體"/>
        <family val="2"/>
        <charset val="136"/>
        <scheme val="minor"/>
      </rPr>
      <t>護照條例</t>
    </r>
  </si>
  <si>
    <r>
      <rPr>
        <sz val="15"/>
        <color theme="1"/>
        <rFont val="新細明體"/>
        <family val="1"/>
        <charset val="136"/>
      </rPr>
      <t>表</t>
    </r>
    <r>
      <rPr>
        <sz val="15"/>
        <color theme="1"/>
        <rFont val="Times New Roman"/>
        <family val="1"/>
      </rPr>
      <t>3-2-4</t>
    </r>
    <r>
      <rPr>
        <sz val="15"/>
        <color theme="1"/>
        <rFont val="新細明體"/>
        <family val="1"/>
        <charset val="136"/>
      </rPr>
      <t>　近</t>
    </r>
    <r>
      <rPr>
        <sz val="15"/>
        <color theme="1"/>
        <rFont val="Times New Roman"/>
        <family val="1"/>
      </rPr>
      <t>10</t>
    </r>
    <r>
      <rPr>
        <sz val="15"/>
        <color theme="1"/>
        <rFont val="新細明體"/>
        <family val="1"/>
        <charset val="136"/>
      </rPr>
      <t>年地方法院（庭）審理終結之少年觸法、虞犯</t>
    </r>
    <r>
      <rPr>
        <sz val="15"/>
        <color theme="1"/>
        <rFont val="Times New Roman"/>
        <family val="1"/>
      </rPr>
      <t>/</t>
    </r>
    <r>
      <rPr>
        <sz val="15"/>
        <color theme="1"/>
        <rFont val="新細明體"/>
        <family val="1"/>
        <charset val="136"/>
      </rPr>
      <t>曝險人數</t>
    </r>
    <phoneticPr fontId="3" type="noConversion"/>
  </si>
  <si>
    <t>觸　犯　刑　罰　法   令</t>
    <phoneticPr fontId="3" type="noConversion"/>
  </si>
  <si>
    <t>虞犯/曝險</t>
    <phoneticPr fontId="3" type="noConversion"/>
  </si>
  <si>
    <t>總　計</t>
    <phoneticPr fontId="3" type="noConversion"/>
  </si>
  <si>
    <t>保　護    事　件</t>
    <phoneticPr fontId="3" type="noConversion"/>
  </si>
  <si>
    <t>刑     事     案     件</t>
    <phoneticPr fontId="3" type="noConversion"/>
  </si>
  <si>
    <t>人數</t>
    <phoneticPr fontId="3" type="noConversion"/>
  </si>
  <si>
    <t xml:space="preserve">指數 </t>
    <phoneticPr fontId="3" type="noConversion"/>
  </si>
  <si>
    <t xml:space="preserve"> 百分比</t>
    <phoneticPr fontId="3" type="noConversion"/>
  </si>
  <si>
    <t>指數</t>
    <phoneticPr fontId="3" type="noConversion"/>
  </si>
  <si>
    <t>百分比</t>
    <phoneticPr fontId="3" type="noConversion"/>
  </si>
  <si>
    <r>
      <t>101</t>
    </r>
    <r>
      <rPr>
        <sz val="12"/>
        <color theme="1"/>
        <rFont val="新細明體"/>
        <family val="2"/>
        <charset val="136"/>
        <scheme val="minor"/>
      </rPr>
      <t>年</t>
    </r>
    <r>
      <rPr>
        <sz val="12"/>
        <rFont val="細明體"/>
        <family val="3"/>
        <charset val="136"/>
      </rPr>
      <t/>
    </r>
  </si>
  <si>
    <r>
      <t>102</t>
    </r>
    <r>
      <rPr>
        <sz val="12"/>
        <color theme="1"/>
        <rFont val="新細明體"/>
        <family val="2"/>
        <charset val="136"/>
        <scheme val="minor"/>
      </rPr>
      <t>年</t>
    </r>
    <r>
      <rPr>
        <sz val="12"/>
        <rFont val="細明體"/>
        <family val="3"/>
        <charset val="136"/>
      </rPr>
      <t/>
    </r>
  </si>
  <si>
    <r>
      <t>103</t>
    </r>
    <r>
      <rPr>
        <sz val="12"/>
        <color theme="1"/>
        <rFont val="新細明體"/>
        <family val="2"/>
        <charset val="136"/>
        <scheme val="minor"/>
      </rPr>
      <t>年</t>
    </r>
    <r>
      <rPr>
        <sz val="12"/>
        <rFont val="細明體"/>
        <family val="3"/>
        <charset val="136"/>
      </rPr>
      <t/>
    </r>
  </si>
  <si>
    <r>
      <t>104</t>
    </r>
    <r>
      <rPr>
        <sz val="12"/>
        <color theme="1"/>
        <rFont val="新細明體"/>
        <family val="2"/>
        <charset val="136"/>
        <scheme val="minor"/>
      </rPr>
      <t>年</t>
    </r>
    <r>
      <rPr>
        <sz val="12"/>
        <rFont val="細明體"/>
        <family val="3"/>
        <charset val="136"/>
      </rPr>
      <t/>
    </r>
  </si>
  <si>
    <r>
      <t>105</t>
    </r>
    <r>
      <rPr>
        <sz val="12"/>
        <color theme="1"/>
        <rFont val="新細明體"/>
        <family val="2"/>
        <charset val="136"/>
        <scheme val="minor"/>
      </rPr>
      <t>年</t>
    </r>
    <r>
      <rPr>
        <sz val="12"/>
        <rFont val="細明體"/>
        <family val="3"/>
        <charset val="136"/>
      </rPr>
      <t/>
    </r>
  </si>
  <si>
    <r>
      <t>106</t>
    </r>
    <r>
      <rPr>
        <sz val="12"/>
        <color theme="1"/>
        <rFont val="新細明體"/>
        <family val="2"/>
        <charset val="136"/>
        <scheme val="minor"/>
      </rPr>
      <t>年</t>
    </r>
    <r>
      <rPr>
        <sz val="12"/>
        <rFont val="細明體"/>
        <family val="3"/>
        <charset val="136"/>
      </rPr>
      <t/>
    </r>
  </si>
  <si>
    <r>
      <t>107</t>
    </r>
    <r>
      <rPr>
        <sz val="12"/>
        <color theme="1"/>
        <rFont val="新細明體"/>
        <family val="2"/>
        <charset val="136"/>
        <scheme val="minor"/>
      </rPr>
      <t>年</t>
    </r>
    <r>
      <rPr>
        <sz val="12"/>
        <rFont val="細明體"/>
        <family val="3"/>
        <charset val="136"/>
      </rPr>
      <t/>
    </r>
  </si>
  <si>
    <r>
      <t>108</t>
    </r>
    <r>
      <rPr>
        <sz val="12"/>
        <color theme="1"/>
        <rFont val="新細明體"/>
        <family val="2"/>
        <charset val="136"/>
        <scheme val="minor"/>
      </rPr>
      <t>年</t>
    </r>
    <r>
      <rPr>
        <sz val="12"/>
        <rFont val="細明體"/>
        <family val="3"/>
        <charset val="136"/>
      </rPr>
      <t/>
    </r>
  </si>
  <si>
    <r>
      <t>109</t>
    </r>
    <r>
      <rPr>
        <sz val="12"/>
        <color theme="1"/>
        <rFont val="新細明體"/>
        <family val="2"/>
        <charset val="136"/>
        <scheme val="minor"/>
      </rPr>
      <t>年</t>
    </r>
    <r>
      <rPr>
        <sz val="12"/>
        <rFont val="細明體"/>
        <family val="3"/>
        <charset val="136"/>
      </rPr>
      <t/>
    </r>
    <phoneticPr fontId="23" type="noConversion"/>
  </si>
  <si>
    <r>
      <t>111</t>
    </r>
    <r>
      <rPr>
        <sz val="12"/>
        <color theme="1"/>
        <rFont val="Times New Roman"/>
        <family val="2"/>
      </rPr>
      <t>年</t>
    </r>
    <phoneticPr fontId="23" type="noConversion"/>
  </si>
  <si>
    <r>
      <rPr>
        <sz val="10"/>
        <color theme="1"/>
        <rFont val="新細明體"/>
        <family val="1"/>
        <charset val="136"/>
      </rPr>
      <t>資料來源：司法院（表</t>
    </r>
    <r>
      <rPr>
        <sz val="10"/>
        <color theme="1"/>
        <rFont val="Times New Roman"/>
        <family val="1"/>
      </rPr>
      <t>10914-02-05-05</t>
    </r>
    <r>
      <rPr>
        <sz val="10"/>
        <color theme="1"/>
        <rFont val="新細明體"/>
        <family val="1"/>
        <charset val="136"/>
      </rPr>
      <t>、</t>
    </r>
    <r>
      <rPr>
        <sz val="10"/>
        <color theme="1"/>
        <rFont val="Times New Roman"/>
        <family val="1"/>
      </rPr>
      <t>10914-03-04-05</t>
    </r>
    <r>
      <rPr>
        <sz val="10"/>
        <color theme="1"/>
        <rFont val="新細明體"/>
        <family val="1"/>
        <charset val="136"/>
      </rPr>
      <t>）。</t>
    </r>
    <phoneticPr fontId="3" type="noConversion"/>
  </si>
  <si>
    <r>
      <rPr>
        <sz val="12"/>
        <color theme="1"/>
        <rFont val="新細明體"/>
        <family val="2"/>
        <charset val="136"/>
        <scheme val="minor"/>
      </rPr>
      <t>勉足維持生活</t>
    </r>
    <phoneticPr fontId="3" type="noConversion"/>
  </si>
  <si>
    <r>
      <rPr>
        <sz val="12"/>
        <color theme="1"/>
        <rFont val="新細明體"/>
        <family val="2"/>
        <charset val="136"/>
        <scheme val="minor"/>
      </rPr>
      <t>小康之家</t>
    </r>
    <phoneticPr fontId="3" type="noConversion"/>
  </si>
  <si>
    <r>
      <rPr>
        <sz val="12"/>
        <color theme="1"/>
        <rFont val="新細明體"/>
        <family val="2"/>
        <charset val="136"/>
        <scheme val="minor"/>
      </rPr>
      <t>低收入戶</t>
    </r>
    <phoneticPr fontId="3" type="noConversion"/>
  </si>
  <si>
    <r>
      <rPr>
        <sz val="12"/>
        <color theme="1"/>
        <rFont val="新細明體"/>
        <family val="2"/>
        <charset val="136"/>
        <scheme val="minor"/>
      </rPr>
      <t>中產以上</t>
    </r>
    <phoneticPr fontId="3" type="noConversion"/>
  </si>
  <si>
    <r>
      <rPr>
        <sz val="12"/>
        <color theme="1"/>
        <rFont val="新細明體"/>
        <family val="2"/>
        <charset val="136"/>
        <scheme val="minor"/>
      </rPr>
      <t>不詳</t>
    </r>
    <phoneticPr fontId="3" type="noConversion"/>
  </si>
  <si>
    <t>108年</t>
    <phoneticPr fontId="2" type="noConversion"/>
  </si>
  <si>
    <r>
      <rPr>
        <sz val="15"/>
        <color theme="1"/>
        <rFont val="新細明體"/>
        <family val="1"/>
        <charset val="136"/>
      </rPr>
      <t>表</t>
    </r>
    <r>
      <rPr>
        <sz val="15"/>
        <color theme="1"/>
        <rFont val="Times New Roman"/>
        <family val="1"/>
      </rPr>
      <t xml:space="preserve">3-2-11     </t>
    </r>
    <r>
      <rPr>
        <sz val="15"/>
        <color theme="1"/>
        <rFont val="新細明體"/>
        <family val="1"/>
        <charset val="136"/>
      </rPr>
      <t>近</t>
    </r>
    <r>
      <rPr>
        <sz val="15"/>
        <color theme="1"/>
        <rFont val="Times New Roman"/>
        <family val="1"/>
      </rPr>
      <t>10</t>
    </r>
    <r>
      <rPr>
        <sz val="15"/>
        <color theme="1"/>
        <rFont val="新細明體"/>
        <family val="1"/>
        <charset val="136"/>
      </rPr>
      <t>年觸法少年交付保護處分之父母現況</t>
    </r>
    <phoneticPr fontId="3" type="noConversion"/>
  </si>
  <si>
    <r>
      <rPr>
        <sz val="12"/>
        <color theme="1"/>
        <rFont val="新細明體"/>
        <family val="2"/>
        <charset val="136"/>
        <scheme val="minor"/>
      </rPr>
      <t>父母俱存</t>
    </r>
    <phoneticPr fontId="3" type="noConversion"/>
  </si>
  <si>
    <r>
      <rPr>
        <sz val="12"/>
        <color theme="1"/>
        <rFont val="新細明體"/>
        <family val="2"/>
        <charset val="136"/>
        <scheme val="minor"/>
      </rPr>
      <t>母存父亡</t>
    </r>
    <phoneticPr fontId="3" type="noConversion"/>
  </si>
  <si>
    <r>
      <rPr>
        <sz val="12"/>
        <color theme="1"/>
        <rFont val="新細明體"/>
        <family val="2"/>
        <charset val="136"/>
        <scheme val="minor"/>
      </rPr>
      <t>父或母不詳</t>
    </r>
    <r>
      <rPr>
        <sz val="12"/>
        <rFont val="Times New Roman"/>
        <family val="1"/>
      </rPr>
      <t xml:space="preserve"> </t>
    </r>
    <phoneticPr fontId="3" type="noConversion"/>
  </si>
  <si>
    <r>
      <rPr>
        <sz val="12"/>
        <color theme="1"/>
        <rFont val="新細明體"/>
        <family val="2"/>
        <charset val="136"/>
        <scheme val="minor"/>
      </rPr>
      <t>父存母亡</t>
    </r>
    <phoneticPr fontId="3" type="noConversion"/>
  </si>
  <si>
    <r>
      <rPr>
        <sz val="12"/>
        <color theme="1"/>
        <rFont val="新細明體"/>
        <family val="2"/>
        <charset val="136"/>
        <scheme val="minor"/>
      </rPr>
      <t>父母俱亡</t>
    </r>
    <phoneticPr fontId="3" type="noConversion"/>
  </si>
  <si>
    <r>
      <t>101</t>
    </r>
    <r>
      <rPr>
        <sz val="12"/>
        <color theme="1"/>
        <rFont val="新細明體"/>
        <family val="2"/>
        <charset val="136"/>
      </rPr>
      <t>年</t>
    </r>
    <r>
      <rPr>
        <sz val="12"/>
        <rFont val="Times New Roman"/>
        <family val="1"/>
      </rPr>
      <t/>
    </r>
    <phoneticPr fontId="3" type="noConversion"/>
  </si>
  <si>
    <r>
      <t>102年</t>
    </r>
    <r>
      <rPr>
        <sz val="12"/>
        <rFont val="Times New Roman"/>
        <family val="1"/>
      </rPr>
      <t/>
    </r>
  </si>
  <si>
    <r>
      <t>103年</t>
    </r>
    <r>
      <rPr>
        <sz val="12"/>
        <rFont val="Times New Roman"/>
        <family val="1"/>
      </rPr>
      <t/>
    </r>
  </si>
  <si>
    <r>
      <t>104年</t>
    </r>
    <r>
      <rPr>
        <sz val="12"/>
        <rFont val="Times New Roman"/>
        <family val="1"/>
      </rPr>
      <t/>
    </r>
  </si>
  <si>
    <r>
      <t>105年</t>
    </r>
    <r>
      <rPr>
        <sz val="12"/>
        <rFont val="Times New Roman"/>
        <family val="1"/>
      </rPr>
      <t/>
    </r>
  </si>
  <si>
    <r>
      <t>106年</t>
    </r>
    <r>
      <rPr>
        <sz val="12"/>
        <rFont val="Times New Roman"/>
        <family val="1"/>
      </rPr>
      <t/>
    </r>
  </si>
  <si>
    <r>
      <t>107年</t>
    </r>
    <r>
      <rPr>
        <sz val="12"/>
        <rFont val="Times New Roman"/>
        <family val="1"/>
      </rPr>
      <t/>
    </r>
  </si>
  <si>
    <r>
      <t>108年</t>
    </r>
    <r>
      <rPr>
        <sz val="12"/>
        <rFont val="Times New Roman"/>
        <family val="1"/>
      </rPr>
      <t/>
    </r>
  </si>
  <si>
    <r>
      <t>109年</t>
    </r>
    <r>
      <rPr>
        <sz val="12"/>
        <rFont val="Times New Roman"/>
        <family val="1"/>
      </rPr>
      <t/>
    </r>
  </si>
  <si>
    <r>
      <t>110年</t>
    </r>
    <r>
      <rPr>
        <sz val="12"/>
        <rFont val="Times New Roman"/>
        <family val="1"/>
      </rPr>
      <t/>
    </r>
  </si>
  <si>
    <r>
      <rPr>
        <sz val="12"/>
        <color theme="1"/>
        <rFont val="新細明體"/>
        <family val="2"/>
        <charset val="136"/>
      </rPr>
      <t>總計</t>
    </r>
    <phoneticPr fontId="3" type="noConversion"/>
  </si>
  <si>
    <r>
      <rPr>
        <sz val="12"/>
        <color theme="1"/>
        <rFont val="新細明體"/>
        <family val="2"/>
        <charset val="136"/>
      </rPr>
      <t>男</t>
    </r>
    <phoneticPr fontId="3" type="noConversion"/>
  </si>
  <si>
    <r>
      <rPr>
        <sz val="12"/>
        <color theme="1"/>
        <rFont val="新細明體"/>
        <family val="2"/>
        <charset val="136"/>
      </rPr>
      <t>女</t>
    </r>
    <phoneticPr fontId="3" type="noConversion"/>
  </si>
  <si>
    <r>
      <rPr>
        <sz val="12"/>
        <color theme="1"/>
        <rFont val="新細明體"/>
        <family val="2"/>
        <charset val="136"/>
      </rPr>
      <t>毒品危害防制條例</t>
    </r>
    <phoneticPr fontId="3" type="noConversion"/>
  </si>
  <si>
    <r>
      <rPr>
        <sz val="12"/>
        <color theme="1"/>
        <rFont val="新細明體"/>
        <family val="2"/>
        <charset val="136"/>
      </rPr>
      <t>妨害性自主罪</t>
    </r>
    <phoneticPr fontId="3" type="noConversion"/>
  </si>
  <si>
    <r>
      <rPr>
        <sz val="12"/>
        <color theme="1"/>
        <rFont val="新細明體"/>
        <family val="2"/>
        <charset val="136"/>
      </rPr>
      <t>強盜罪</t>
    </r>
    <phoneticPr fontId="3" type="noConversion"/>
  </si>
  <si>
    <r>
      <rPr>
        <sz val="12"/>
        <color theme="1"/>
        <rFont val="新細明體"/>
        <family val="2"/>
        <charset val="136"/>
      </rPr>
      <t>傷害罪</t>
    </r>
    <phoneticPr fontId="3" type="noConversion"/>
  </si>
  <si>
    <r>
      <rPr>
        <sz val="12"/>
        <color theme="1"/>
        <rFont val="新細明體"/>
        <family val="2"/>
        <charset val="136"/>
      </rPr>
      <t>殺人罪</t>
    </r>
    <phoneticPr fontId="3" type="noConversion"/>
  </si>
  <si>
    <r>
      <rPr>
        <sz val="12"/>
        <color theme="1"/>
        <rFont val="新細明體"/>
        <family val="2"/>
        <charset val="136"/>
      </rPr>
      <t>詐欺罪</t>
    </r>
    <phoneticPr fontId="3" type="noConversion"/>
  </si>
  <si>
    <r>
      <rPr>
        <sz val="12"/>
        <color theme="1"/>
        <rFont val="新細明體"/>
        <family val="2"/>
        <charset val="136"/>
      </rPr>
      <t>公共危險罪</t>
    </r>
    <phoneticPr fontId="3" type="noConversion"/>
  </si>
  <si>
    <r>
      <rPr>
        <sz val="12"/>
        <color theme="1"/>
        <rFont val="新細明體"/>
        <family val="2"/>
        <charset val="136"/>
      </rPr>
      <t>槍砲彈藥刀械管制條例</t>
    </r>
    <phoneticPr fontId="3" type="noConversion"/>
  </si>
  <si>
    <r>
      <rPr>
        <sz val="12"/>
        <color theme="1"/>
        <rFont val="新細明體"/>
        <family val="2"/>
        <charset val="136"/>
      </rPr>
      <t>竊盜罪</t>
    </r>
    <phoneticPr fontId="3" type="noConversion"/>
  </si>
  <si>
    <r>
      <rPr>
        <sz val="12"/>
        <color theme="1"/>
        <rFont val="新細明體"/>
        <family val="2"/>
        <charset val="136"/>
      </rPr>
      <t>偽造文書印文罪</t>
    </r>
    <phoneticPr fontId="3" type="noConversion"/>
  </si>
  <si>
    <r>
      <rPr>
        <sz val="12"/>
        <color theme="1"/>
        <rFont val="新細明體"/>
        <family val="2"/>
        <charset val="136"/>
      </rPr>
      <t>妨害自由罪</t>
    </r>
    <phoneticPr fontId="3" type="noConversion"/>
  </si>
  <si>
    <r>
      <rPr>
        <sz val="12"/>
        <color theme="1"/>
        <rFont val="新細明體"/>
        <family val="2"/>
        <charset val="136"/>
      </rPr>
      <t>偽證罪</t>
    </r>
    <phoneticPr fontId="3" type="noConversion"/>
  </si>
  <si>
    <r>
      <rPr>
        <sz val="12"/>
        <color theme="1"/>
        <rFont val="新細明體"/>
        <family val="2"/>
        <charset val="136"/>
      </rPr>
      <t>藥事法</t>
    </r>
    <phoneticPr fontId="3" type="noConversion"/>
  </si>
  <si>
    <r>
      <rPr>
        <sz val="12"/>
        <color theme="1"/>
        <rFont val="新細明體"/>
        <family val="2"/>
        <charset val="136"/>
      </rPr>
      <t>妨害名譽及信用罪</t>
    </r>
    <phoneticPr fontId="3" type="noConversion"/>
  </si>
  <si>
    <r>
      <rPr>
        <sz val="12"/>
        <color theme="1"/>
        <rFont val="新細明體"/>
        <family val="2"/>
        <charset val="136"/>
      </rPr>
      <t>妨害風化罪</t>
    </r>
    <phoneticPr fontId="3" type="noConversion"/>
  </si>
  <si>
    <r>
      <rPr>
        <sz val="12"/>
        <color theme="1"/>
        <rFont val="新細明體"/>
        <family val="2"/>
        <charset val="136"/>
      </rPr>
      <t>重利罪</t>
    </r>
    <phoneticPr fontId="3" type="noConversion"/>
  </si>
  <si>
    <r>
      <rPr>
        <sz val="12"/>
        <color theme="1"/>
        <rFont val="新細明體"/>
        <family val="2"/>
        <charset val="136"/>
      </rPr>
      <t>恐嚇取財罪</t>
    </r>
    <phoneticPr fontId="3" type="noConversion"/>
  </si>
  <si>
    <r>
      <rPr>
        <sz val="12"/>
        <color theme="1"/>
        <rFont val="新細明體"/>
        <family val="2"/>
        <charset val="136"/>
      </rPr>
      <t>稅法</t>
    </r>
    <phoneticPr fontId="23" type="noConversion"/>
  </si>
  <si>
    <r>
      <rPr>
        <sz val="12"/>
        <color theme="1"/>
        <rFont val="新細明體"/>
        <family val="2"/>
        <charset val="136"/>
      </rPr>
      <t>搶奪及海盜罪</t>
    </r>
    <phoneticPr fontId="3" type="noConversion"/>
  </si>
  <si>
    <r>
      <rPr>
        <sz val="12"/>
        <color theme="1"/>
        <rFont val="新細明體"/>
        <family val="2"/>
        <charset val="136"/>
      </rPr>
      <t>廢棄物清理法</t>
    </r>
    <phoneticPr fontId="2" type="noConversion"/>
  </si>
  <si>
    <r>
      <rPr>
        <sz val="12"/>
        <color theme="1"/>
        <rFont val="新細明體"/>
        <family val="2"/>
        <charset val="136"/>
      </rPr>
      <t>擄人勒贖罪</t>
    </r>
    <phoneticPr fontId="3" type="noConversion"/>
  </si>
  <si>
    <r>
      <rPr>
        <sz val="12"/>
        <color theme="1"/>
        <rFont val="新細明體"/>
        <family val="2"/>
        <charset val="136"/>
      </rPr>
      <t>遺棄罪</t>
    </r>
    <phoneticPr fontId="3" type="noConversion"/>
  </si>
  <si>
    <t>偽造有價證券罪</t>
    <phoneticPr fontId="2" type="noConversion"/>
  </si>
  <si>
    <r>
      <rPr>
        <sz val="12"/>
        <color theme="1"/>
        <rFont val="新細明體"/>
        <family val="2"/>
        <charset val="136"/>
      </rPr>
      <t>贓物罪</t>
    </r>
    <phoneticPr fontId="3" type="noConversion"/>
  </si>
  <si>
    <r>
      <rPr>
        <sz val="12"/>
        <color theme="1"/>
        <rFont val="新細明體"/>
        <family val="2"/>
        <charset val="136"/>
      </rPr>
      <t>其他</t>
    </r>
    <phoneticPr fontId="3" type="noConversion"/>
  </si>
  <si>
    <r>
      <rPr>
        <sz val="10"/>
        <color theme="1"/>
        <rFont val="新細明體"/>
        <family val="1"/>
        <charset val="136"/>
      </rPr>
      <t>資料來源：司法院</t>
    </r>
    <r>
      <rPr>
        <sz val="10"/>
        <color theme="1"/>
        <rFont val="Times New Roman"/>
        <family val="1"/>
      </rPr>
      <t xml:space="preserve"> (</t>
    </r>
    <r>
      <rPr>
        <sz val="10"/>
        <color theme="1"/>
        <rFont val="新細明體"/>
        <family val="1"/>
        <charset val="136"/>
      </rPr>
      <t>表</t>
    </r>
    <r>
      <rPr>
        <sz val="10"/>
        <color theme="1"/>
        <rFont val="Times New Roman"/>
        <family val="1"/>
      </rPr>
      <t>10914-02-05-05)</t>
    </r>
    <r>
      <rPr>
        <sz val="10"/>
        <color theme="1"/>
        <rFont val="新細明體"/>
        <family val="1"/>
        <charset val="136"/>
      </rPr>
      <t>。
說　　明：本表刑事案件，係指當年度經法院裁判且經個案調查的少年。</t>
    </r>
    <phoneticPr fontId="3" type="noConversion"/>
  </si>
  <si>
    <r>
      <rPr>
        <sz val="15"/>
        <rFont val="新細明體"/>
        <family val="1"/>
        <charset val="136"/>
      </rPr>
      <t>表</t>
    </r>
    <r>
      <rPr>
        <sz val="15"/>
        <rFont val="Times New Roman"/>
        <family val="1"/>
      </rPr>
      <t>3-2-14</t>
    </r>
    <r>
      <rPr>
        <sz val="15"/>
        <rFont val="新細明體"/>
        <family val="1"/>
        <charset val="136"/>
      </rPr>
      <t>　</t>
    </r>
    <r>
      <rPr>
        <sz val="15"/>
        <rFont val="Times New Roman"/>
        <family val="1"/>
      </rPr>
      <t xml:space="preserve"> </t>
    </r>
    <r>
      <rPr>
        <sz val="15"/>
        <rFont val="新細明體"/>
        <family val="1"/>
        <charset val="136"/>
      </rPr>
      <t>近</t>
    </r>
    <r>
      <rPr>
        <sz val="15"/>
        <rFont val="Times New Roman"/>
        <family val="1"/>
      </rPr>
      <t>10</t>
    </r>
    <r>
      <rPr>
        <sz val="15"/>
        <rFont val="新細明體"/>
        <family val="1"/>
        <charset val="136"/>
      </rPr>
      <t>年少年刑事案件年齡</t>
    </r>
    <phoneticPr fontId="3" type="noConversion"/>
  </si>
  <si>
    <r>
      <rPr>
        <sz val="12"/>
        <color theme="1"/>
        <rFont val="新細明體"/>
        <family val="2"/>
        <charset val="136"/>
        <scheme val="minor"/>
      </rPr>
      <t>總</t>
    </r>
    <r>
      <rPr>
        <sz val="12"/>
        <rFont val="Times New Roman"/>
        <family val="1"/>
      </rPr>
      <t xml:space="preserve">  </t>
    </r>
    <r>
      <rPr>
        <sz val="12"/>
        <color theme="1"/>
        <rFont val="新細明體"/>
        <family val="2"/>
        <charset val="136"/>
        <scheme val="minor"/>
      </rPr>
      <t>計</t>
    </r>
    <phoneticPr fontId="3" type="noConversion"/>
  </si>
  <si>
    <r>
      <t>105</t>
    </r>
    <r>
      <rPr>
        <sz val="12"/>
        <color theme="1"/>
        <rFont val="新細明體"/>
        <family val="2"/>
        <charset val="136"/>
        <scheme val="minor"/>
      </rPr>
      <t>年</t>
    </r>
    <phoneticPr fontId="3" type="noConversion"/>
  </si>
  <si>
    <r>
      <t>110</t>
    </r>
    <r>
      <rPr>
        <sz val="12"/>
        <rFont val="細明體"/>
        <family val="3"/>
        <charset val="136"/>
      </rPr>
      <t>年</t>
    </r>
    <phoneticPr fontId="2" type="noConversion"/>
  </si>
  <si>
    <r>
      <rPr>
        <sz val="10"/>
        <rFont val="新細明體"/>
        <family val="1"/>
        <charset val="136"/>
      </rPr>
      <t>資料來源：司法院</t>
    </r>
    <r>
      <rPr>
        <sz val="10"/>
        <rFont val="Times New Roman"/>
        <family val="1"/>
      </rPr>
      <t xml:space="preserve"> (</t>
    </r>
    <r>
      <rPr>
        <sz val="10"/>
        <rFont val="新細明體"/>
        <family val="1"/>
        <charset val="136"/>
      </rPr>
      <t>表</t>
    </r>
    <r>
      <rPr>
        <sz val="10"/>
        <rFont val="Times New Roman"/>
        <family val="1"/>
      </rPr>
      <t xml:space="preserve">10914-02-07-05) </t>
    </r>
    <r>
      <rPr>
        <sz val="10"/>
        <rFont val="新細明體"/>
        <family val="1"/>
        <charset val="136"/>
      </rPr>
      <t>。</t>
    </r>
    <phoneticPr fontId="3" type="noConversion"/>
  </si>
  <si>
    <t>說　　明：本表刑事案件，係指當年度經法院裁判且經個案調查的少年。</t>
    <phoneticPr fontId="3" type="noConversion"/>
  </si>
  <si>
    <r>
      <t>111</t>
    </r>
    <r>
      <rPr>
        <sz val="12"/>
        <rFont val="Times New Roman"/>
        <family val="3"/>
      </rPr>
      <t>年</t>
    </r>
    <phoneticPr fontId="2" type="noConversion"/>
  </si>
  <si>
    <t>強盜罪</t>
  </si>
  <si>
    <t>其他</t>
  </si>
  <si>
    <t>搶奪及海盜罪</t>
    <phoneticPr fontId="2" type="noConversion"/>
  </si>
  <si>
    <r>
      <rPr>
        <sz val="12"/>
        <color theme="1"/>
        <rFont val="新細明體"/>
        <family val="2"/>
        <charset val="136"/>
        <scheme val="minor"/>
      </rPr>
      <t>高中(職)肄業</t>
    </r>
    <r>
      <rPr>
        <sz val="12"/>
        <rFont val="Times New Roman"/>
        <family val="1"/>
      </rPr>
      <t/>
    </r>
    <phoneticPr fontId="3" type="noConversion"/>
  </si>
  <si>
    <r>
      <rPr>
        <sz val="12"/>
        <color theme="1"/>
        <rFont val="新細明體"/>
        <family val="2"/>
        <charset val="136"/>
        <scheme val="minor"/>
      </rPr>
      <t>國中肄業</t>
    </r>
    <r>
      <rPr>
        <sz val="12"/>
        <rFont val="Times New Roman"/>
        <family val="1"/>
      </rPr>
      <t/>
    </r>
    <phoneticPr fontId="3" type="noConversion"/>
  </si>
  <si>
    <r>
      <rPr>
        <sz val="12"/>
        <color theme="1"/>
        <rFont val="新細明體"/>
        <family val="2"/>
        <charset val="136"/>
        <scheme val="minor"/>
      </rPr>
      <t>國中畢業</t>
    </r>
    <phoneticPr fontId="3" type="noConversion"/>
  </si>
  <si>
    <r>
      <rPr>
        <sz val="12"/>
        <color theme="1"/>
        <rFont val="新細明體"/>
        <family val="2"/>
        <charset val="136"/>
        <scheme val="minor"/>
      </rPr>
      <t>大學</t>
    </r>
    <r>
      <rPr>
        <sz val="12"/>
        <rFont val="Times New Roman"/>
        <family val="1"/>
      </rPr>
      <t>(</t>
    </r>
    <r>
      <rPr>
        <sz val="12"/>
        <color theme="1"/>
        <rFont val="新細明體"/>
        <family val="2"/>
        <charset val="136"/>
        <scheme val="minor"/>
      </rPr>
      <t>專</t>
    </r>
    <r>
      <rPr>
        <sz val="12"/>
        <rFont val="Times New Roman"/>
        <family val="1"/>
      </rPr>
      <t>)</t>
    </r>
    <r>
      <rPr>
        <sz val="12"/>
        <color theme="1"/>
        <rFont val="新細明體"/>
        <family val="2"/>
        <charset val="136"/>
        <scheme val="minor"/>
      </rPr>
      <t>肄業</t>
    </r>
    <r>
      <rPr>
        <sz val="12"/>
        <rFont val="Times New Roman"/>
        <family val="1"/>
      </rPr>
      <t/>
    </r>
    <phoneticPr fontId="3" type="noConversion"/>
  </si>
  <si>
    <r>
      <rPr>
        <sz val="12"/>
        <color theme="1"/>
        <rFont val="新細明體"/>
        <family val="2"/>
        <charset val="136"/>
        <scheme val="minor"/>
      </rPr>
      <t>不識字</t>
    </r>
    <r>
      <rPr>
        <sz val="12"/>
        <rFont val="Times New Roman"/>
        <family val="1"/>
      </rPr>
      <t xml:space="preserve"> </t>
    </r>
    <phoneticPr fontId="3" type="noConversion"/>
  </si>
  <si>
    <r>
      <rPr>
        <sz val="12"/>
        <color theme="1"/>
        <rFont val="新細明體"/>
        <family val="2"/>
        <charset val="136"/>
        <scheme val="minor"/>
      </rPr>
      <t>國小畢業</t>
    </r>
    <phoneticPr fontId="3" type="noConversion"/>
  </si>
  <si>
    <r>
      <rPr>
        <sz val="12"/>
        <color theme="1"/>
        <rFont val="新細明體"/>
        <family val="2"/>
        <charset val="136"/>
        <scheme val="minor"/>
      </rPr>
      <t>國小肄業</t>
    </r>
    <r>
      <rPr>
        <sz val="12"/>
        <rFont val="Times New Roman"/>
        <family val="1"/>
      </rPr>
      <t/>
    </r>
    <phoneticPr fontId="3" type="noConversion"/>
  </si>
  <si>
    <r>
      <t>110</t>
    </r>
    <r>
      <rPr>
        <sz val="12"/>
        <rFont val="細明體"/>
        <family val="3"/>
        <charset val="136"/>
      </rPr>
      <t>年</t>
    </r>
    <r>
      <rPr>
        <sz val="12"/>
        <color theme="1"/>
        <rFont val="新細明體"/>
        <family val="2"/>
        <charset val="136"/>
        <scheme val="minor"/>
      </rPr>
      <t/>
    </r>
    <phoneticPr fontId="2" type="noConversion"/>
  </si>
  <si>
    <r>
      <rPr>
        <sz val="10"/>
        <rFont val="新細明體"/>
        <family val="1"/>
        <charset val="136"/>
      </rPr>
      <t>資料來源：司法院</t>
    </r>
    <r>
      <rPr>
        <sz val="10"/>
        <rFont val="Times New Roman"/>
        <family val="1"/>
      </rPr>
      <t xml:space="preserve"> (</t>
    </r>
    <r>
      <rPr>
        <sz val="10"/>
        <rFont val="新細明體"/>
        <family val="1"/>
        <charset val="136"/>
      </rPr>
      <t>表</t>
    </r>
    <r>
      <rPr>
        <sz val="10"/>
        <rFont val="Times New Roman"/>
        <family val="1"/>
      </rPr>
      <t xml:space="preserve">10914-02-06-05) </t>
    </r>
    <r>
      <rPr>
        <sz val="10"/>
        <rFont val="新細明體"/>
        <family val="1"/>
        <charset val="136"/>
      </rPr>
      <t>。</t>
    </r>
    <phoneticPr fontId="3" type="noConversion"/>
  </si>
  <si>
    <r>
      <t>說　　明：</t>
    </r>
    <r>
      <rPr>
        <sz val="10"/>
        <rFont val="Times New Roman"/>
        <family val="1"/>
      </rPr>
      <t xml:space="preserve">1. </t>
    </r>
    <r>
      <rPr>
        <sz val="10"/>
        <rFont val="新細明體"/>
        <family val="1"/>
        <charset val="136"/>
      </rPr>
      <t>肄業含在校及離校。
　　　　　</t>
    </r>
    <r>
      <rPr>
        <sz val="10"/>
        <rFont val="Times New Roman"/>
        <family val="1"/>
      </rPr>
      <t xml:space="preserve">2. </t>
    </r>
    <r>
      <rPr>
        <sz val="10"/>
        <rFont val="新細明體"/>
        <family val="1"/>
        <charset val="136"/>
      </rPr>
      <t>本表刑事案件，係指當年度經法院裁判且經個案調查的少年。</t>
    </r>
    <phoneticPr fontId="40" type="noConversion"/>
  </si>
  <si>
    <r>
      <t>111</t>
    </r>
    <r>
      <rPr>
        <sz val="12"/>
        <rFont val="細明體"/>
        <family val="3"/>
        <charset val="136"/>
      </rPr>
      <t>年</t>
    </r>
    <phoneticPr fontId="2" type="noConversion"/>
  </si>
  <si>
    <r>
      <rPr>
        <sz val="10"/>
        <rFont val="新細明體"/>
        <family val="1"/>
        <charset val="136"/>
      </rPr>
      <t>資料來源：司法院</t>
    </r>
    <r>
      <rPr>
        <sz val="10"/>
        <rFont val="Times New Roman"/>
        <family val="1"/>
      </rPr>
      <t xml:space="preserve"> (</t>
    </r>
    <r>
      <rPr>
        <sz val="10"/>
        <rFont val="新細明體"/>
        <family val="1"/>
        <charset val="136"/>
      </rPr>
      <t>表</t>
    </r>
    <r>
      <rPr>
        <sz val="10"/>
        <rFont val="Times New Roman"/>
        <family val="1"/>
      </rPr>
      <t>10914-03-04-05)</t>
    </r>
    <r>
      <rPr>
        <sz val="10"/>
        <rFont val="新細明體"/>
        <family val="1"/>
        <charset val="136"/>
      </rPr>
      <t>。
說　　明：</t>
    </r>
    <r>
      <rPr>
        <sz val="10"/>
        <rFont val="Times New Roman"/>
        <family val="1"/>
      </rPr>
      <t>1.</t>
    </r>
    <r>
      <rPr>
        <sz val="10"/>
        <rFont val="新細明體"/>
        <family val="1"/>
        <charset val="136"/>
      </rPr>
      <t>本表虞犯</t>
    </r>
    <r>
      <rPr>
        <sz val="10"/>
        <rFont val="Times New Roman"/>
        <family val="1"/>
      </rPr>
      <t>/</t>
    </r>
    <r>
      <rPr>
        <sz val="10"/>
        <rFont val="新細明體"/>
        <family val="1"/>
        <charset val="136"/>
      </rPr>
      <t>曝險少年，係指當年度經法院裁定交付保護處分且經個案調查者。
　　　　　</t>
    </r>
    <r>
      <rPr>
        <sz val="10"/>
        <rFont val="Times New Roman"/>
        <family val="1"/>
      </rPr>
      <t>2.</t>
    </r>
    <r>
      <rPr>
        <sz val="10"/>
        <rFont val="新細明體"/>
        <family val="1"/>
        <charset val="136"/>
      </rPr>
      <t>基於少年事件處理法自</t>
    </r>
    <r>
      <rPr>
        <sz val="10"/>
        <rFont val="Times New Roman"/>
        <family val="1"/>
      </rPr>
      <t>108</t>
    </r>
    <r>
      <rPr>
        <sz val="10"/>
        <rFont val="新細明體"/>
        <family val="1"/>
        <charset val="136"/>
      </rPr>
      <t>年修正虞犯少年為曝險少年，本表於</t>
    </r>
    <r>
      <rPr>
        <sz val="10"/>
        <rFont val="Times New Roman"/>
        <family val="1"/>
      </rPr>
      <t>108</t>
    </r>
    <r>
      <rPr>
        <sz val="10"/>
        <rFont val="新細明體"/>
        <family val="1"/>
        <charset val="136"/>
      </rPr>
      <t>年</t>
    </r>
    <r>
      <rPr>
        <sz val="10"/>
        <rFont val="Times New Roman"/>
        <family val="1"/>
      </rPr>
      <t>6</t>
    </r>
    <r>
      <rPr>
        <sz val="10"/>
        <rFont val="新細明體"/>
        <family val="1"/>
        <charset val="136"/>
      </rPr>
      <t>月前為虞犯少年數據，其後為曝險少年數據。</t>
    </r>
    <phoneticPr fontId="3" type="noConversion"/>
  </si>
  <si>
    <r>
      <rPr>
        <sz val="15"/>
        <color theme="1"/>
        <rFont val="新細明體"/>
        <family val="1"/>
        <charset val="136"/>
      </rPr>
      <t>表</t>
    </r>
    <r>
      <rPr>
        <sz val="15"/>
        <color theme="1"/>
        <rFont val="Times New Roman"/>
        <family val="1"/>
      </rPr>
      <t xml:space="preserve">3-2-27 </t>
    </r>
    <r>
      <rPr>
        <sz val="15"/>
        <color theme="1"/>
        <rFont val="新細明體"/>
        <family val="1"/>
        <charset val="136"/>
      </rPr>
      <t>　近</t>
    </r>
    <r>
      <rPr>
        <sz val="15"/>
        <color theme="1"/>
        <rFont val="Times New Roman"/>
        <family val="1"/>
      </rPr>
      <t>10</t>
    </r>
    <r>
      <rPr>
        <sz val="15"/>
        <color theme="1"/>
        <rFont val="新細明體"/>
        <family val="1"/>
        <charset val="136"/>
      </rPr>
      <t>年曝險少年交付保護處分之父母婚姻狀況</t>
    </r>
    <phoneticPr fontId="3" type="noConversion"/>
  </si>
  <si>
    <r>
      <t>108</t>
    </r>
    <r>
      <rPr>
        <sz val="12"/>
        <rFont val="PMingLiU"/>
        <family val="1"/>
        <charset val="136"/>
      </rPr>
      <t>年</t>
    </r>
    <phoneticPr fontId="2" type="noConversion"/>
  </si>
  <si>
    <r>
      <t>104</t>
    </r>
    <r>
      <rPr>
        <sz val="12"/>
        <rFont val="PMingLiU"/>
        <family val="1"/>
        <charset val="136"/>
      </rPr>
      <t>年</t>
    </r>
    <phoneticPr fontId="2" type="noConversion"/>
  </si>
  <si>
    <t>說　　明：1. 被歸類為12歲未滿的少年，係於移送時為12歲以上，但在調查或審理階段時，始得知該少年觸法時未滿12歲而言。
　　　　　2. 本表虞犯/曝險少年，係指當年度經法院裁定交付保護處分且經個案調查者。
　　　　　3.基於少年事件處理法自108年修正虞犯少年為曝險少年，本表於108年6月前為虞犯少年數據，其後為曝險少年數據。</t>
    <phoneticPr fontId="40" type="noConversion"/>
  </si>
  <si>
    <r>
      <t>111</t>
    </r>
    <r>
      <rPr>
        <sz val="12"/>
        <color theme="1"/>
        <rFont val="PMingLiU"/>
        <family val="1"/>
        <charset val="136"/>
      </rPr>
      <t>年</t>
    </r>
    <phoneticPr fontId="2" type="noConversion"/>
  </si>
  <si>
    <r>
      <rPr>
        <sz val="10"/>
        <rFont val="新細明體"/>
        <family val="1"/>
        <charset val="136"/>
      </rPr>
      <t>說　　明：本表不含待執行感化教育、留置觀察及保護管束之少年人數。</t>
    </r>
    <phoneticPr fontId="40" type="noConversion"/>
  </si>
  <si>
    <t>資料來源：法務部統計處。</t>
    <phoneticPr fontId="2" type="noConversion"/>
  </si>
  <si>
    <t xml:space="preserve"> %</t>
    <phoneticPr fontId="40" type="noConversion"/>
  </si>
  <si>
    <r>
      <t xml:space="preserve"> </t>
    </r>
    <r>
      <rPr>
        <sz val="12"/>
        <color theme="1"/>
        <rFont val="新細明體"/>
        <family val="2"/>
        <charset val="136"/>
        <scheme val="minor"/>
      </rPr>
      <t>人</t>
    </r>
    <phoneticPr fontId="40" type="noConversion"/>
  </si>
  <si>
    <r>
      <rPr>
        <sz val="12"/>
        <color theme="1"/>
        <rFont val="新細明體"/>
        <family val="2"/>
        <charset val="136"/>
        <scheme val="minor"/>
      </rPr>
      <t>女</t>
    </r>
    <r>
      <rPr>
        <sz val="12"/>
        <rFont val="Times New Roman"/>
        <family val="1"/>
      </rPr>
      <t xml:space="preserve">         </t>
    </r>
    <phoneticPr fontId="40" type="noConversion"/>
  </si>
  <si>
    <r>
      <rPr>
        <sz val="12"/>
        <color theme="1"/>
        <rFont val="新細明體"/>
        <family val="2"/>
        <charset val="136"/>
        <scheme val="minor"/>
      </rPr>
      <t>男</t>
    </r>
    <r>
      <rPr>
        <sz val="12"/>
        <rFont val="Times New Roman"/>
        <family val="1"/>
      </rPr>
      <t xml:space="preserve">           </t>
    </r>
    <phoneticPr fontId="40" type="noConversion"/>
  </si>
  <si>
    <t>計</t>
    <phoneticPr fontId="40" type="noConversion"/>
  </si>
  <si>
    <r>
      <rPr>
        <sz val="12"/>
        <color theme="1"/>
        <rFont val="新細明體"/>
        <family val="2"/>
        <charset val="136"/>
        <scheme val="minor"/>
      </rPr>
      <t>羈押少年</t>
    </r>
    <phoneticPr fontId="40" type="noConversion"/>
  </si>
  <si>
    <t>收容少年</t>
    <phoneticPr fontId="40" type="noConversion"/>
  </si>
  <si>
    <t>計</t>
    <phoneticPr fontId="2" type="noConversion"/>
  </si>
  <si>
    <t>總計</t>
  </si>
  <si>
    <r>
      <t>110</t>
    </r>
    <r>
      <rPr>
        <sz val="12"/>
        <rFont val="PMingLiU"/>
        <family val="1"/>
        <charset val="136"/>
      </rPr>
      <t>年</t>
    </r>
    <phoneticPr fontId="2" type="noConversion"/>
  </si>
  <si>
    <r>
      <t>107</t>
    </r>
    <r>
      <rPr>
        <sz val="12"/>
        <color theme="1"/>
        <rFont val="新細明體"/>
        <family val="2"/>
        <charset val="136"/>
        <scheme val="minor"/>
      </rPr>
      <t>年</t>
    </r>
    <phoneticPr fontId="40" type="noConversion"/>
  </si>
  <si>
    <t>資料來源：法務部統計處。</t>
  </si>
  <si>
    <r>
      <rPr>
        <sz val="12"/>
        <color theme="1"/>
        <rFont val="新細明體"/>
        <family val="2"/>
        <charset val="136"/>
        <scheme val="minor"/>
      </rPr>
      <t>人</t>
    </r>
    <phoneticPr fontId="40" type="noConversion"/>
  </si>
  <si>
    <r>
      <t>18</t>
    </r>
    <r>
      <rPr>
        <sz val="12"/>
        <color theme="1"/>
        <rFont val="新細明體"/>
        <family val="2"/>
        <charset val="136"/>
        <scheme val="minor"/>
      </rPr>
      <t>歲以上</t>
    </r>
    <r>
      <rPr>
        <sz val="12"/>
        <rFont val="Times New Roman"/>
        <family val="1"/>
      </rPr>
      <t xml:space="preserve">  </t>
    </r>
    <phoneticPr fontId="40" type="noConversion"/>
  </si>
  <si>
    <r>
      <t>17</t>
    </r>
    <r>
      <rPr>
        <sz val="12"/>
        <color theme="1"/>
        <rFont val="新細明體"/>
        <family val="2"/>
        <charset val="136"/>
        <scheme val="minor"/>
      </rPr>
      <t>歲以上</t>
    </r>
    <r>
      <rPr>
        <sz val="12"/>
        <rFont val="Times New Roman"/>
        <family val="1"/>
      </rPr>
      <t>18</t>
    </r>
    <r>
      <rPr>
        <sz val="12"/>
        <color theme="1"/>
        <rFont val="新細明體"/>
        <family val="2"/>
        <charset val="136"/>
        <scheme val="minor"/>
      </rPr>
      <t>歲未滿</t>
    </r>
    <r>
      <rPr>
        <sz val="12"/>
        <rFont val="Times New Roman"/>
        <family val="1"/>
      </rPr>
      <t xml:space="preserve">      </t>
    </r>
    <phoneticPr fontId="2" type="noConversion"/>
  </si>
  <si>
    <r>
      <t>16</t>
    </r>
    <r>
      <rPr>
        <sz val="12"/>
        <color theme="1"/>
        <rFont val="新細明體"/>
        <family val="2"/>
        <charset val="136"/>
        <scheme val="minor"/>
      </rPr>
      <t>歲以上</t>
    </r>
    <r>
      <rPr>
        <sz val="12"/>
        <rFont val="Times New Roman"/>
        <family val="1"/>
      </rPr>
      <t>17</t>
    </r>
    <r>
      <rPr>
        <sz val="12"/>
        <color theme="1"/>
        <rFont val="新細明體"/>
        <family val="2"/>
        <charset val="136"/>
        <scheme val="minor"/>
      </rPr>
      <t>歲未滿</t>
    </r>
    <r>
      <rPr>
        <sz val="12"/>
        <rFont val="Times New Roman"/>
        <family val="1"/>
      </rPr>
      <t xml:space="preserve">      </t>
    </r>
    <phoneticPr fontId="2" type="noConversion"/>
  </si>
  <si>
    <r>
      <t>15</t>
    </r>
    <r>
      <rPr>
        <sz val="12"/>
        <color theme="1"/>
        <rFont val="新細明體"/>
        <family val="2"/>
        <charset val="136"/>
        <scheme val="minor"/>
      </rPr>
      <t>歲以上</t>
    </r>
    <r>
      <rPr>
        <sz val="12"/>
        <rFont val="Times New Roman"/>
        <family val="1"/>
      </rPr>
      <t>16</t>
    </r>
    <r>
      <rPr>
        <sz val="12"/>
        <color theme="1"/>
        <rFont val="新細明體"/>
        <family val="2"/>
        <charset val="136"/>
        <scheme val="minor"/>
      </rPr>
      <t>歲未滿</t>
    </r>
    <r>
      <rPr>
        <sz val="12"/>
        <rFont val="Times New Roman"/>
        <family val="1"/>
      </rPr>
      <t xml:space="preserve">    </t>
    </r>
    <phoneticPr fontId="2" type="noConversion"/>
  </si>
  <si>
    <r>
      <t>14</t>
    </r>
    <r>
      <rPr>
        <sz val="12"/>
        <color theme="1"/>
        <rFont val="新細明體"/>
        <family val="2"/>
        <charset val="136"/>
        <scheme val="minor"/>
      </rPr>
      <t>歲以上</t>
    </r>
    <r>
      <rPr>
        <sz val="12"/>
        <rFont val="Times New Roman"/>
        <family val="1"/>
      </rPr>
      <t>15</t>
    </r>
    <r>
      <rPr>
        <sz val="12"/>
        <color theme="1"/>
        <rFont val="新細明體"/>
        <family val="2"/>
        <charset val="136"/>
        <scheme val="minor"/>
      </rPr>
      <t>歲未滿</t>
    </r>
    <r>
      <rPr>
        <sz val="12"/>
        <rFont val="Times New Roman"/>
        <family val="1"/>
      </rPr>
      <t xml:space="preserve">       </t>
    </r>
    <phoneticPr fontId="2" type="noConversion"/>
  </si>
  <si>
    <r>
      <t>13</t>
    </r>
    <r>
      <rPr>
        <sz val="12"/>
        <color theme="1"/>
        <rFont val="新細明體"/>
        <family val="2"/>
        <charset val="136"/>
        <scheme val="minor"/>
      </rPr>
      <t>歲以上</t>
    </r>
    <r>
      <rPr>
        <sz val="12"/>
        <rFont val="Times New Roman"/>
        <family val="1"/>
      </rPr>
      <t>14</t>
    </r>
    <r>
      <rPr>
        <sz val="12"/>
        <color theme="1"/>
        <rFont val="新細明體"/>
        <family val="2"/>
        <charset val="136"/>
        <scheme val="minor"/>
      </rPr>
      <t>歲未滿</t>
    </r>
    <r>
      <rPr>
        <sz val="12"/>
        <rFont val="Times New Roman"/>
        <family val="1"/>
      </rPr>
      <t xml:space="preserve">        </t>
    </r>
    <phoneticPr fontId="2" type="noConversion"/>
  </si>
  <si>
    <r>
      <t>12</t>
    </r>
    <r>
      <rPr>
        <sz val="12"/>
        <color theme="1"/>
        <rFont val="新細明體"/>
        <family val="2"/>
        <charset val="136"/>
        <scheme val="minor"/>
      </rPr>
      <t>歲以上</t>
    </r>
    <r>
      <rPr>
        <sz val="12"/>
        <rFont val="Times New Roman"/>
        <family val="1"/>
      </rPr>
      <t>13</t>
    </r>
    <r>
      <rPr>
        <sz val="12"/>
        <color theme="1"/>
        <rFont val="新細明體"/>
        <family val="2"/>
        <charset val="136"/>
        <scheme val="minor"/>
      </rPr>
      <t>歲未滿</t>
    </r>
    <r>
      <rPr>
        <sz val="12"/>
        <rFont val="Times New Roman"/>
        <family val="1"/>
      </rPr>
      <t xml:space="preserve">    </t>
    </r>
    <phoneticPr fontId="2" type="noConversion"/>
  </si>
  <si>
    <r>
      <t>12</t>
    </r>
    <r>
      <rPr>
        <sz val="12"/>
        <color theme="1"/>
        <rFont val="新細明體"/>
        <family val="2"/>
        <charset val="136"/>
        <scheme val="minor"/>
      </rPr>
      <t>歲未滿</t>
    </r>
    <phoneticPr fontId="40" type="noConversion"/>
  </si>
  <si>
    <r>
      <rPr>
        <sz val="12"/>
        <color theme="1"/>
        <rFont val="新細明體"/>
        <family val="2"/>
        <charset val="136"/>
        <scheme val="minor"/>
      </rPr>
      <t>總計</t>
    </r>
    <phoneticPr fontId="40" type="noConversion"/>
  </si>
  <si>
    <r>
      <rPr>
        <sz val="12"/>
        <color theme="1"/>
        <rFont val="新細明體"/>
        <family val="2"/>
        <charset val="136"/>
        <scheme val="minor"/>
      </rPr>
      <t>女</t>
    </r>
    <phoneticPr fontId="40" type="noConversion"/>
  </si>
  <si>
    <r>
      <rPr>
        <sz val="12"/>
        <color theme="1"/>
        <rFont val="新細明體"/>
        <family val="2"/>
        <charset val="136"/>
        <scheme val="minor"/>
      </rPr>
      <t>男</t>
    </r>
    <phoneticPr fontId="40" type="noConversion"/>
  </si>
  <si>
    <r>
      <rPr>
        <sz val="12"/>
        <color theme="1"/>
        <rFont val="新細明體"/>
        <family val="2"/>
        <charset val="136"/>
        <scheme val="minor"/>
      </rPr>
      <t>計</t>
    </r>
    <phoneticPr fontId="40" type="noConversion"/>
  </si>
  <si>
    <r>
      <rPr>
        <sz val="12"/>
        <color theme="1"/>
        <rFont val="新細明體"/>
        <family val="2"/>
        <charset val="136"/>
        <scheme val="minor"/>
      </rPr>
      <t>不詳</t>
    </r>
    <phoneticPr fontId="40" type="noConversion"/>
  </si>
  <si>
    <t>不識字</t>
  </si>
  <si>
    <t xml:space="preserve">大專以上    </t>
  </si>
  <si>
    <t xml:space="preserve">國小         </t>
  </si>
  <si>
    <t xml:space="preserve">國中       </t>
  </si>
  <si>
    <t xml:space="preserve">高中(職)     </t>
  </si>
  <si>
    <r>
      <rPr>
        <sz val="12"/>
        <color theme="1"/>
        <rFont val="新細明體"/>
        <family val="2"/>
        <charset val="136"/>
        <scheme val="minor"/>
      </rPr>
      <t>總計</t>
    </r>
    <r>
      <rPr>
        <sz val="12"/>
        <rFont val="Times New Roman"/>
        <family val="1"/>
      </rPr>
      <t xml:space="preserve"> </t>
    </r>
  </si>
  <si>
    <r>
      <rPr>
        <sz val="12"/>
        <color theme="1"/>
        <rFont val="新細明體"/>
        <family val="2"/>
        <charset val="136"/>
        <scheme val="minor"/>
      </rPr>
      <t>不詳</t>
    </r>
  </si>
  <si>
    <r>
      <rPr>
        <sz val="12"/>
        <color theme="1"/>
        <rFont val="新細明體"/>
        <family val="2"/>
        <charset val="136"/>
        <scheme val="minor"/>
      </rPr>
      <t>中產以上</t>
    </r>
  </si>
  <si>
    <r>
      <rPr>
        <sz val="12"/>
        <color theme="1"/>
        <rFont val="新細明體"/>
        <family val="2"/>
        <charset val="136"/>
        <scheme val="minor"/>
      </rPr>
      <t>貧困無以維生</t>
    </r>
  </si>
  <si>
    <r>
      <rPr>
        <sz val="12"/>
        <color theme="1"/>
        <rFont val="新細明體"/>
        <family val="2"/>
        <charset val="136"/>
        <scheme val="minor"/>
      </rPr>
      <t>小康之家</t>
    </r>
  </si>
  <si>
    <r>
      <rPr>
        <sz val="12"/>
        <color theme="1"/>
        <rFont val="新細明體"/>
        <family val="2"/>
        <charset val="136"/>
        <scheme val="minor"/>
      </rPr>
      <t>勉足維持生活</t>
    </r>
  </si>
  <si>
    <r>
      <rPr>
        <sz val="15"/>
        <color theme="1"/>
        <rFont val="新細明體"/>
        <family val="1"/>
        <charset val="136"/>
      </rPr>
      <t>表</t>
    </r>
    <r>
      <rPr>
        <sz val="15"/>
        <color theme="1"/>
        <rFont val="Times New Roman"/>
        <family val="1"/>
      </rPr>
      <t xml:space="preserve"> 3-3-4</t>
    </r>
    <r>
      <rPr>
        <sz val="15"/>
        <color theme="1"/>
        <rFont val="新細明體"/>
        <family val="1"/>
        <charset val="136"/>
      </rPr>
      <t>　近</t>
    </r>
    <r>
      <rPr>
        <sz val="15"/>
        <color theme="1"/>
        <rFont val="Times New Roman"/>
        <family val="1"/>
      </rPr>
      <t>5</t>
    </r>
    <r>
      <rPr>
        <sz val="15"/>
        <color theme="1"/>
        <rFont val="新細明體"/>
        <family val="1"/>
        <charset val="136"/>
      </rPr>
      <t>年少年觀護所新入所收容</t>
    </r>
    <r>
      <rPr>
        <sz val="15"/>
        <color theme="1"/>
        <rFont val="Times New Roman"/>
        <family val="1"/>
      </rPr>
      <t>/</t>
    </r>
    <r>
      <rPr>
        <sz val="15"/>
        <color theme="1"/>
        <rFont val="新細明體"/>
        <family val="1"/>
        <charset val="136"/>
      </rPr>
      <t>羈押少年之性別與家庭經濟狀況</t>
    </r>
    <phoneticPr fontId="40" type="noConversion"/>
  </si>
  <si>
    <r>
      <rPr>
        <sz val="10"/>
        <rFont val="新細明體"/>
        <family val="1"/>
        <charset val="136"/>
      </rPr>
      <t>　　　　　</t>
    </r>
    <r>
      <rPr>
        <sz val="10"/>
        <rFont val="Times New Roman"/>
        <family val="1"/>
      </rPr>
      <t xml:space="preserve">2. </t>
    </r>
    <r>
      <rPr>
        <sz val="10"/>
        <rFont val="新細明體"/>
        <family val="1"/>
        <charset val="136"/>
      </rPr>
      <t>因應少年事件處理法部分條文修正，原虞犯行為停止適用，改為曝險行為。</t>
    </r>
    <phoneticPr fontId="40" type="noConversion"/>
  </si>
  <si>
    <r>
      <rPr>
        <sz val="10"/>
        <rFont val="新細明體"/>
        <family val="1"/>
        <charset val="136"/>
      </rPr>
      <t>說　　明：</t>
    </r>
    <r>
      <rPr>
        <sz val="10"/>
        <rFont val="Times New Roman"/>
        <family val="1"/>
      </rPr>
      <t xml:space="preserve">1. </t>
    </r>
    <r>
      <rPr>
        <sz val="10"/>
        <rFont val="新細明體"/>
        <family val="1"/>
        <charset val="136"/>
      </rPr>
      <t>本表不含待執行感化教育、留置觀察及保護管束之少年人數。</t>
    </r>
    <phoneticPr fontId="40" type="noConversion"/>
  </si>
  <si>
    <r>
      <rPr>
        <sz val="12"/>
        <color theme="1"/>
        <rFont val="新細明體"/>
        <family val="2"/>
        <charset val="136"/>
      </rPr>
      <t>人</t>
    </r>
    <phoneticPr fontId="40" type="noConversion"/>
  </si>
  <si>
    <r>
      <rPr>
        <sz val="12"/>
        <color theme="1"/>
        <rFont val="新細明體"/>
        <family val="2"/>
        <charset val="136"/>
      </rPr>
      <t>曝險行為</t>
    </r>
    <phoneticPr fontId="40" type="noConversion"/>
  </si>
  <si>
    <r>
      <rPr>
        <sz val="12"/>
        <color theme="1"/>
        <rFont val="新細明體"/>
        <family val="2"/>
        <charset val="136"/>
      </rPr>
      <t>其他罪名</t>
    </r>
    <phoneticPr fontId="40" type="noConversion"/>
  </si>
  <si>
    <r>
      <rPr>
        <sz val="12"/>
        <color theme="1"/>
        <rFont val="新細明體"/>
        <family val="1"/>
        <charset val="136"/>
      </rPr>
      <t>贓物罪</t>
    </r>
  </si>
  <si>
    <t>搶奪罪</t>
  </si>
  <si>
    <t>強盜及海盜罪</t>
  </si>
  <si>
    <t>恐嚇及擄人勒贖罪</t>
  </si>
  <si>
    <r>
      <rPr>
        <sz val="12"/>
        <color theme="1"/>
        <rFont val="新細明體"/>
        <family val="2"/>
        <charset val="136"/>
      </rPr>
      <t>妨害性自主
及妨害風化罪</t>
    </r>
  </si>
  <si>
    <r>
      <rPr>
        <sz val="12"/>
        <color theme="1"/>
        <rFont val="新細明體"/>
        <family val="2"/>
        <charset val="136"/>
      </rPr>
      <t>總計</t>
    </r>
    <r>
      <rPr>
        <sz val="12"/>
        <rFont val="Times New Roman"/>
        <family val="1"/>
      </rPr>
      <t xml:space="preserve"> </t>
    </r>
  </si>
  <si>
    <r>
      <rPr>
        <sz val="12"/>
        <color theme="1"/>
        <rFont val="新細明體"/>
        <family val="2"/>
        <charset val="136"/>
      </rPr>
      <t>女</t>
    </r>
    <phoneticPr fontId="40" type="noConversion"/>
  </si>
  <si>
    <r>
      <rPr>
        <sz val="12"/>
        <color theme="1"/>
        <rFont val="新細明體"/>
        <family val="2"/>
        <charset val="136"/>
      </rPr>
      <t>男</t>
    </r>
    <phoneticPr fontId="40" type="noConversion"/>
  </si>
  <si>
    <r>
      <rPr>
        <sz val="12"/>
        <color theme="1"/>
        <rFont val="新細明體"/>
        <family val="2"/>
        <charset val="136"/>
      </rPr>
      <t>計</t>
    </r>
    <phoneticPr fontId="40" type="noConversion"/>
  </si>
  <si>
    <r>
      <t>107</t>
    </r>
    <r>
      <rPr>
        <sz val="12"/>
        <color theme="1"/>
        <rFont val="新細明體"/>
        <family val="2"/>
        <charset val="136"/>
      </rPr>
      <t>年</t>
    </r>
    <phoneticPr fontId="40" type="noConversion"/>
  </si>
  <si>
    <r>
      <rPr>
        <sz val="11"/>
        <rFont val="細明體"/>
        <family val="3"/>
        <charset val="136"/>
      </rPr>
      <t>說　　明：</t>
    </r>
    <r>
      <rPr>
        <sz val="11"/>
        <rFont val="Times New Roman"/>
        <family val="1"/>
      </rPr>
      <t>1.</t>
    </r>
    <r>
      <rPr>
        <sz val="11"/>
        <rFont val="細明體"/>
        <family val="3"/>
        <charset val="136"/>
      </rPr>
      <t>因少年輔育院自</t>
    </r>
    <r>
      <rPr>
        <sz val="11"/>
        <rFont val="Times New Roman"/>
        <family val="1"/>
      </rPr>
      <t>110</t>
    </r>
    <r>
      <rPr>
        <sz val="11"/>
        <rFont val="細明體"/>
        <family val="3"/>
        <charset val="136"/>
      </rPr>
      <t>年</t>
    </r>
    <r>
      <rPr>
        <sz val="11"/>
        <rFont val="Times New Roman"/>
        <family val="1"/>
      </rPr>
      <t>8</t>
    </r>
    <r>
      <rPr>
        <sz val="11"/>
        <rFont val="細明體"/>
        <family val="3"/>
        <charset val="136"/>
      </rPr>
      <t>月後更名為矯正學校，爰整併本表少年輔育院、少年矯正學校用語為「少年矯正學校」。
　　　　　</t>
    </r>
    <r>
      <rPr>
        <sz val="11"/>
        <rFont val="Times New Roman"/>
        <family val="1"/>
      </rPr>
      <t>2.110</t>
    </r>
    <r>
      <rPr>
        <sz val="11"/>
        <rFont val="細明體"/>
        <family val="3"/>
        <charset val="136"/>
      </rPr>
      <t>年</t>
    </r>
    <r>
      <rPr>
        <sz val="11"/>
        <rFont val="Times New Roman"/>
        <family val="1"/>
      </rPr>
      <t>8</t>
    </r>
    <r>
      <rPr>
        <sz val="11"/>
        <rFont val="細明體"/>
        <family val="3"/>
        <charset val="136"/>
      </rPr>
      <t>月</t>
    </r>
    <r>
      <rPr>
        <sz val="11"/>
        <rFont val="Times New Roman"/>
        <family val="1"/>
      </rPr>
      <t>1</t>
    </r>
    <r>
      <rPr>
        <sz val="11"/>
        <rFont val="細明體"/>
        <family val="3"/>
        <charset val="136"/>
      </rPr>
      <t>日起，桃園少年輔育院及彰化少年輔育院改制為敦品中學及勵志中學。本表含改制前之桃園少年輔育院及彰化少年輔育院收容受感化教育學生。</t>
    </r>
    <phoneticPr fontId="2" type="noConversion"/>
  </si>
  <si>
    <t>誠正中學</t>
  </si>
  <si>
    <t>敦品中學</t>
  </si>
  <si>
    <t>勵志中學</t>
  </si>
  <si>
    <r>
      <rPr>
        <sz val="12"/>
        <color theme="1"/>
        <rFont val="新細明體"/>
        <family val="2"/>
        <charset val="136"/>
        <scheme val="minor"/>
      </rPr>
      <t>總計</t>
    </r>
  </si>
  <si>
    <r>
      <rPr>
        <sz val="15"/>
        <rFont val="新細明體"/>
        <family val="1"/>
        <charset val="136"/>
      </rPr>
      <t>表</t>
    </r>
    <r>
      <rPr>
        <sz val="15"/>
        <rFont val="Times New Roman"/>
        <family val="1"/>
      </rPr>
      <t xml:space="preserve"> 3-3-6</t>
    </r>
    <r>
      <rPr>
        <sz val="15"/>
        <rFont val="新細明體"/>
        <family val="1"/>
        <charset val="136"/>
      </rPr>
      <t>　近</t>
    </r>
    <r>
      <rPr>
        <sz val="15"/>
        <rFont val="Times New Roman"/>
        <family val="1"/>
      </rPr>
      <t>5</t>
    </r>
    <r>
      <rPr>
        <sz val="15"/>
        <rFont val="新細明體"/>
        <family val="1"/>
        <charset val="136"/>
      </rPr>
      <t>年少年矯正學校新入</t>
    </r>
    <r>
      <rPr>
        <sz val="15"/>
        <rFont val="新細明體"/>
        <family val="1"/>
        <charset val="136"/>
      </rPr>
      <t>校受感化教育學生之性別</t>
    </r>
    <phoneticPr fontId="40" type="noConversion"/>
  </si>
  <si>
    <r>
      <rPr>
        <sz val="10"/>
        <rFont val="新細明體"/>
        <family val="1"/>
        <charset val="136"/>
      </rPr>
      <t>說　　明：</t>
    </r>
    <r>
      <rPr>
        <sz val="10"/>
        <rFont val="Times New Roman"/>
        <family val="1"/>
      </rPr>
      <t>1.</t>
    </r>
    <r>
      <rPr>
        <sz val="10"/>
        <rFont val="新細明體"/>
        <family val="1"/>
        <charset val="136"/>
      </rPr>
      <t>實際出院</t>
    </r>
    <r>
      <rPr>
        <sz val="10"/>
        <rFont val="Times New Roman"/>
        <family val="1"/>
      </rPr>
      <t>(</t>
    </r>
    <r>
      <rPr>
        <sz val="10"/>
        <rFont val="新細明體"/>
        <family val="1"/>
        <charset val="136"/>
      </rPr>
      <t>校</t>
    </r>
    <r>
      <rPr>
        <sz val="10"/>
        <rFont val="Times New Roman"/>
        <family val="1"/>
      </rPr>
      <t>)</t>
    </r>
    <r>
      <rPr>
        <sz val="10"/>
        <rFont val="新細明體"/>
        <family val="1"/>
        <charset val="136"/>
      </rPr>
      <t>人數含期滿出院</t>
    </r>
    <r>
      <rPr>
        <sz val="10"/>
        <rFont val="Times New Roman"/>
        <family val="1"/>
      </rPr>
      <t>(</t>
    </r>
    <r>
      <rPr>
        <sz val="10"/>
        <rFont val="新細明體"/>
        <family val="1"/>
        <charset val="136"/>
      </rPr>
      <t>校</t>
    </r>
    <r>
      <rPr>
        <sz val="10"/>
        <rFont val="Times New Roman"/>
        <family val="1"/>
      </rPr>
      <t>)</t>
    </r>
    <r>
      <rPr>
        <sz val="10"/>
        <rFont val="新細明體"/>
        <family val="1"/>
        <charset val="136"/>
      </rPr>
      <t>、免除執行、停止執行、終止執行者。
　　　　　</t>
    </r>
    <r>
      <rPr>
        <sz val="10"/>
        <rFont val="Times New Roman"/>
        <family val="1"/>
      </rPr>
      <t>2.</t>
    </r>
    <r>
      <rPr>
        <sz val="10"/>
        <rFont val="新細明體"/>
        <family val="1"/>
        <charset val="136"/>
      </rPr>
      <t>因少年輔育院自</t>
    </r>
    <r>
      <rPr>
        <sz val="10"/>
        <rFont val="Times New Roman"/>
        <family val="1"/>
      </rPr>
      <t>110</t>
    </r>
    <r>
      <rPr>
        <sz val="10"/>
        <rFont val="新細明體"/>
        <family val="1"/>
        <charset val="136"/>
      </rPr>
      <t>年</t>
    </r>
    <r>
      <rPr>
        <sz val="10"/>
        <rFont val="Times New Roman"/>
        <family val="1"/>
      </rPr>
      <t>8</t>
    </r>
    <r>
      <rPr>
        <sz val="10"/>
        <rFont val="新細明體"/>
        <family val="1"/>
        <charset val="136"/>
      </rPr>
      <t>月後更名為矯正學校，爰整併本表少年輔育院、少年矯正學校用語為「少年矯正學校」。
　　　　　</t>
    </r>
    <r>
      <rPr>
        <sz val="10"/>
        <rFont val="Times New Roman"/>
        <family val="1"/>
      </rPr>
      <t>3.110</t>
    </r>
    <r>
      <rPr>
        <sz val="10"/>
        <rFont val="新細明體"/>
        <family val="1"/>
        <charset val="136"/>
      </rPr>
      <t>年</t>
    </r>
    <r>
      <rPr>
        <sz val="10"/>
        <rFont val="Times New Roman"/>
        <family val="1"/>
      </rPr>
      <t>8</t>
    </r>
    <r>
      <rPr>
        <sz val="10"/>
        <rFont val="新細明體"/>
        <family val="1"/>
        <charset val="136"/>
      </rPr>
      <t>月</t>
    </r>
    <r>
      <rPr>
        <sz val="10"/>
        <rFont val="Times New Roman"/>
        <family val="1"/>
      </rPr>
      <t>1</t>
    </r>
    <r>
      <rPr>
        <sz val="10"/>
        <rFont val="新細明體"/>
        <family val="1"/>
        <charset val="136"/>
      </rPr>
      <t>日起，桃園少年輔育院及彰化少年輔育院改制為敦品中學及勵志中學。本表含改制前之桃園少年輔育院及彰化少年輔育院收容受感化教育學生。</t>
    </r>
    <phoneticPr fontId="2" type="noConversion"/>
  </si>
  <si>
    <t xml:space="preserve">  %</t>
  </si>
  <si>
    <r>
      <t xml:space="preserve">  </t>
    </r>
    <r>
      <rPr>
        <sz val="12"/>
        <color theme="1"/>
        <rFont val="新細明體"/>
        <family val="2"/>
        <charset val="136"/>
        <scheme val="minor"/>
      </rPr>
      <t>人</t>
    </r>
  </si>
  <si>
    <r>
      <rPr>
        <sz val="10"/>
        <rFont val="細明體"/>
        <family val="3"/>
        <charset val="136"/>
      </rPr>
      <t>說　　明：</t>
    </r>
    <r>
      <rPr>
        <sz val="10"/>
        <rFont val="Times New Roman"/>
        <family val="1"/>
      </rPr>
      <t>1.</t>
    </r>
    <r>
      <rPr>
        <sz val="10"/>
        <rFont val="細明體"/>
        <family val="3"/>
        <charset val="136"/>
      </rPr>
      <t>因少年輔育院自</t>
    </r>
    <r>
      <rPr>
        <sz val="10"/>
        <rFont val="Times New Roman"/>
        <family val="1"/>
      </rPr>
      <t>110</t>
    </r>
    <r>
      <rPr>
        <sz val="10"/>
        <rFont val="細明體"/>
        <family val="3"/>
        <charset val="136"/>
      </rPr>
      <t>年</t>
    </r>
    <r>
      <rPr>
        <sz val="10"/>
        <rFont val="Times New Roman"/>
        <family val="1"/>
      </rPr>
      <t>8</t>
    </r>
    <r>
      <rPr>
        <sz val="10"/>
        <rFont val="細明體"/>
        <family val="3"/>
        <charset val="136"/>
      </rPr>
      <t>月後更名為矯正學校，爰整併本表少年輔育院、少年矯正學校用語為「少年矯正學校」。
　　　　　</t>
    </r>
    <r>
      <rPr>
        <sz val="10"/>
        <rFont val="Times New Roman"/>
        <family val="1"/>
      </rPr>
      <t>2.110</t>
    </r>
    <r>
      <rPr>
        <sz val="10"/>
        <rFont val="細明體"/>
        <family val="3"/>
        <charset val="136"/>
      </rPr>
      <t>年</t>
    </r>
    <r>
      <rPr>
        <sz val="10"/>
        <rFont val="Times New Roman"/>
        <family val="1"/>
      </rPr>
      <t>8</t>
    </r>
    <r>
      <rPr>
        <sz val="10"/>
        <rFont val="細明體"/>
        <family val="3"/>
        <charset val="136"/>
      </rPr>
      <t>月</t>
    </r>
    <r>
      <rPr>
        <sz val="10"/>
        <rFont val="Times New Roman"/>
        <family val="1"/>
      </rPr>
      <t>1</t>
    </r>
    <r>
      <rPr>
        <sz val="10"/>
        <rFont val="細明體"/>
        <family val="3"/>
        <charset val="136"/>
      </rPr>
      <t>日起，桃園少年輔育院及彰化少年輔育院改制為敦品中學及勵志中學。本表含改制前之桃園少年輔育院及彰化少年輔育院收容受感化教育學生。</t>
    </r>
    <phoneticPr fontId="2" type="noConversion"/>
  </si>
  <si>
    <r>
      <rPr>
        <sz val="12"/>
        <color theme="1"/>
        <rFont val="新細明體"/>
        <family val="2"/>
        <charset val="136"/>
        <scheme val="minor"/>
      </rPr>
      <t>不識字</t>
    </r>
    <phoneticPr fontId="40" type="noConversion"/>
  </si>
  <si>
    <r>
      <rPr>
        <sz val="12"/>
        <color theme="1"/>
        <rFont val="新細明體"/>
        <family val="2"/>
        <charset val="136"/>
        <scheme val="minor"/>
      </rPr>
      <t>國小</t>
    </r>
    <r>
      <rPr>
        <sz val="12"/>
        <rFont val="Times New Roman"/>
        <family val="1"/>
      </rPr>
      <t xml:space="preserve"> </t>
    </r>
    <phoneticPr fontId="40" type="noConversion"/>
  </si>
  <si>
    <r>
      <rPr>
        <sz val="12"/>
        <color theme="1"/>
        <rFont val="新細明體"/>
        <family val="2"/>
        <charset val="136"/>
        <scheme val="minor"/>
      </rPr>
      <t>職業學校</t>
    </r>
    <phoneticPr fontId="40" type="noConversion"/>
  </si>
  <si>
    <r>
      <rPr>
        <sz val="12"/>
        <color theme="1"/>
        <rFont val="新細明體"/>
        <family val="2"/>
        <charset val="136"/>
        <scheme val="minor"/>
      </rPr>
      <t>國中</t>
    </r>
    <phoneticPr fontId="40" type="noConversion"/>
  </si>
  <si>
    <r>
      <rPr>
        <sz val="12"/>
        <color theme="1"/>
        <rFont val="新細明體"/>
        <family val="2"/>
        <charset val="136"/>
        <scheme val="minor"/>
      </rPr>
      <t>高中</t>
    </r>
    <phoneticPr fontId="40" type="noConversion"/>
  </si>
  <si>
    <t>%</t>
    <phoneticPr fontId="40" type="noConversion"/>
  </si>
  <si>
    <r>
      <rPr>
        <sz val="12"/>
        <color theme="1"/>
        <rFont val="新細明體"/>
        <family val="2"/>
        <charset val="136"/>
        <scheme val="minor"/>
      </rPr>
      <t>總計</t>
    </r>
    <r>
      <rPr>
        <sz val="12"/>
        <rFont val="Times New Roman"/>
        <family val="1"/>
      </rPr>
      <t xml:space="preserve">   </t>
    </r>
    <phoneticPr fontId="40" type="noConversion"/>
  </si>
  <si>
    <r>
      <rPr>
        <sz val="12"/>
        <color theme="1"/>
        <rFont val="新細明體"/>
        <family val="2"/>
        <charset val="136"/>
      </rPr>
      <t>富裕</t>
    </r>
    <r>
      <rPr>
        <sz val="12"/>
        <rFont val="Times New Roman"/>
        <family val="1"/>
      </rPr>
      <t xml:space="preserve"> </t>
    </r>
    <phoneticPr fontId="40" type="noConversion"/>
  </si>
  <si>
    <r>
      <rPr>
        <sz val="12"/>
        <color theme="1"/>
        <rFont val="新細明體"/>
        <family val="2"/>
        <charset val="136"/>
      </rPr>
      <t>貧困</t>
    </r>
    <phoneticPr fontId="40" type="noConversion"/>
  </si>
  <si>
    <r>
      <rPr>
        <sz val="12"/>
        <color theme="1"/>
        <rFont val="新細明體"/>
        <family val="2"/>
        <charset val="136"/>
      </rPr>
      <t>普通</t>
    </r>
    <r>
      <rPr>
        <sz val="12"/>
        <rFont val="Times New Roman"/>
        <family val="1"/>
      </rPr>
      <t xml:space="preserve"> </t>
    </r>
    <phoneticPr fontId="40" type="noConversion"/>
  </si>
  <si>
    <r>
      <rPr>
        <sz val="12"/>
        <color theme="1"/>
        <rFont val="新細明體"/>
        <family val="2"/>
        <charset val="136"/>
      </rPr>
      <t>總計</t>
    </r>
    <phoneticPr fontId="40" type="noConversion"/>
  </si>
  <si>
    <r>
      <rPr>
        <sz val="10"/>
        <rFont val="新細明體"/>
        <family val="1"/>
        <charset val="136"/>
      </rPr>
      <t>說　　明：</t>
    </r>
    <r>
      <rPr>
        <sz val="10"/>
        <rFont val="Times New Roman"/>
        <family val="1"/>
      </rPr>
      <t>1.</t>
    </r>
    <r>
      <rPr>
        <sz val="10"/>
        <rFont val="新細明體"/>
        <family val="1"/>
        <charset val="136"/>
      </rPr>
      <t>因應少年事件處理法部分條文修正，原虞犯行為停止適用，改為曝險行為。
　　　　　</t>
    </r>
    <r>
      <rPr>
        <sz val="10"/>
        <rFont val="Times New Roman"/>
        <family val="1"/>
      </rPr>
      <t>2.</t>
    </r>
    <r>
      <rPr>
        <sz val="10"/>
        <rFont val="新細明體"/>
        <family val="1"/>
        <charset val="136"/>
      </rPr>
      <t>因少年輔育院自</t>
    </r>
    <r>
      <rPr>
        <sz val="10"/>
        <rFont val="Times New Roman"/>
        <family val="1"/>
      </rPr>
      <t>110</t>
    </r>
    <r>
      <rPr>
        <sz val="10"/>
        <rFont val="新細明體"/>
        <family val="1"/>
        <charset val="136"/>
      </rPr>
      <t>年</t>
    </r>
    <r>
      <rPr>
        <sz val="10"/>
        <rFont val="Times New Roman"/>
        <family val="1"/>
      </rPr>
      <t>8</t>
    </r>
    <r>
      <rPr>
        <sz val="10"/>
        <rFont val="新細明體"/>
        <family val="1"/>
        <charset val="136"/>
      </rPr>
      <t>月後更名為矯正學校，爰整併本表少年輔育院、少年矯正學校用語為「少年矯正學校」。
　　　　　</t>
    </r>
    <r>
      <rPr>
        <sz val="10"/>
        <rFont val="Times New Roman"/>
        <family val="1"/>
      </rPr>
      <t>3.110</t>
    </r>
    <r>
      <rPr>
        <sz val="10"/>
        <rFont val="新細明體"/>
        <family val="1"/>
        <charset val="136"/>
      </rPr>
      <t>年</t>
    </r>
    <r>
      <rPr>
        <sz val="10"/>
        <rFont val="Times New Roman"/>
        <family val="1"/>
      </rPr>
      <t>8</t>
    </r>
    <r>
      <rPr>
        <sz val="10"/>
        <rFont val="新細明體"/>
        <family val="1"/>
        <charset val="136"/>
      </rPr>
      <t>月</t>
    </r>
    <r>
      <rPr>
        <sz val="10"/>
        <rFont val="Times New Roman"/>
        <family val="1"/>
      </rPr>
      <t>1</t>
    </r>
    <r>
      <rPr>
        <sz val="10"/>
        <rFont val="新細明體"/>
        <family val="1"/>
        <charset val="136"/>
      </rPr>
      <t>日起，桃園少年輔育院及彰化少年輔育院改制為敦品中學及勵志中學。本表含改制前之桃園少年輔育院及彰化少年輔育院收容受感化教育學生。</t>
    </r>
    <phoneticPr fontId="40" type="noConversion"/>
  </si>
  <si>
    <r>
      <rPr>
        <sz val="12"/>
        <color theme="1"/>
        <rFont val="新細明體"/>
        <family val="2"/>
        <charset val="136"/>
      </rPr>
      <t>其他罪名</t>
    </r>
    <r>
      <rPr>
        <sz val="12"/>
        <rFont val="Times New Roman"/>
        <family val="1"/>
      </rPr>
      <t xml:space="preserve">             </t>
    </r>
    <phoneticPr fontId="40" type="noConversion"/>
  </si>
  <si>
    <t xml:space="preserve">強盜及海盜罪                 </t>
  </si>
  <si>
    <t xml:space="preserve">槍砲彈藥刀械管制條例   </t>
  </si>
  <si>
    <t xml:space="preserve">搶奪罪            </t>
  </si>
  <si>
    <t xml:space="preserve">殺人罪             </t>
  </si>
  <si>
    <t xml:space="preserve">妨害自由罪             </t>
  </si>
  <si>
    <t xml:space="preserve">恐嚇取財得利罪                </t>
  </si>
  <si>
    <t xml:space="preserve">竊盜罪             </t>
  </si>
  <si>
    <t xml:space="preserve">毒品危害防制條例          </t>
  </si>
  <si>
    <t xml:space="preserve">傷害罪            </t>
  </si>
  <si>
    <t xml:space="preserve">詐欺罪            </t>
  </si>
  <si>
    <r>
      <rPr>
        <sz val="12"/>
        <color theme="1"/>
        <rFont val="新細明體"/>
        <family val="2"/>
        <charset val="136"/>
      </rPr>
      <t>總計</t>
    </r>
    <r>
      <rPr>
        <sz val="12"/>
        <rFont val="Times New Roman"/>
        <family val="1"/>
      </rPr>
      <t xml:space="preserve">               </t>
    </r>
    <phoneticPr fontId="40" type="noConversion"/>
  </si>
  <si>
    <t xml:space="preserve"> %</t>
  </si>
  <si>
    <r>
      <t xml:space="preserve"> </t>
    </r>
    <r>
      <rPr>
        <sz val="12"/>
        <color theme="1"/>
        <rFont val="新細明體"/>
        <family val="2"/>
        <charset val="136"/>
        <scheme val="minor"/>
      </rPr>
      <t>人</t>
    </r>
  </si>
  <si>
    <r>
      <rPr>
        <sz val="12"/>
        <color theme="1"/>
        <rFont val="新細明體"/>
        <family val="2"/>
        <charset val="136"/>
        <scheme val="minor"/>
      </rPr>
      <t>　　　女</t>
    </r>
    <r>
      <rPr>
        <sz val="12"/>
        <rFont val="Times New Roman"/>
        <family val="1"/>
      </rPr>
      <t xml:space="preserve">         </t>
    </r>
  </si>
  <si>
    <r>
      <rPr>
        <sz val="12"/>
        <color theme="1"/>
        <rFont val="新細明體"/>
        <family val="2"/>
        <charset val="136"/>
        <scheme val="minor"/>
      </rPr>
      <t>　　　男</t>
    </r>
    <r>
      <rPr>
        <sz val="12"/>
        <rFont val="Times New Roman"/>
        <family val="1"/>
      </rPr>
      <t xml:space="preserve">           </t>
    </r>
  </si>
  <si>
    <r>
      <t>111</t>
    </r>
    <r>
      <rPr>
        <sz val="12"/>
        <rFont val="PMingLiU"/>
        <family val="1"/>
        <charset val="136"/>
      </rPr>
      <t>年底</t>
    </r>
    <phoneticPr fontId="2" type="noConversion"/>
  </si>
  <si>
    <r>
      <t>110</t>
    </r>
    <r>
      <rPr>
        <sz val="12"/>
        <rFont val="PMingLiU"/>
        <family val="1"/>
        <charset val="136"/>
      </rPr>
      <t>年底</t>
    </r>
    <phoneticPr fontId="2" type="noConversion"/>
  </si>
  <si>
    <r>
      <t>109</t>
    </r>
    <r>
      <rPr>
        <sz val="12"/>
        <rFont val="PMingLiU"/>
        <family val="1"/>
        <charset val="136"/>
      </rPr>
      <t>年底</t>
    </r>
    <phoneticPr fontId="2" type="noConversion"/>
  </si>
  <si>
    <r>
      <t>108</t>
    </r>
    <r>
      <rPr>
        <sz val="12"/>
        <rFont val="PMingLiU"/>
        <family val="1"/>
        <charset val="136"/>
      </rPr>
      <t>年底</t>
    </r>
    <phoneticPr fontId="2" type="noConversion"/>
  </si>
  <si>
    <r>
      <t>107</t>
    </r>
    <r>
      <rPr>
        <sz val="12"/>
        <color theme="1"/>
        <rFont val="新細明體"/>
        <family val="2"/>
        <charset val="136"/>
        <scheme val="minor"/>
      </rPr>
      <t>年底</t>
    </r>
    <phoneticPr fontId="40" type="noConversion"/>
  </si>
  <si>
    <r>
      <rPr>
        <sz val="15"/>
        <color theme="1"/>
        <rFont val="新細明體"/>
        <family val="1"/>
        <charset val="136"/>
      </rPr>
      <t>表</t>
    </r>
    <r>
      <rPr>
        <sz val="15"/>
        <color theme="1"/>
        <rFont val="Times New Roman"/>
        <family val="1"/>
      </rPr>
      <t xml:space="preserve">3-1-1 </t>
    </r>
    <r>
      <rPr>
        <sz val="15"/>
        <color theme="1"/>
        <rFont val="新細明體"/>
        <family val="1"/>
        <charset val="136"/>
      </rPr>
      <t>　近</t>
    </r>
    <r>
      <rPr>
        <sz val="15"/>
        <color theme="1"/>
        <rFont val="Times New Roman"/>
        <family val="1"/>
      </rPr>
      <t>10</t>
    </r>
    <r>
      <rPr>
        <sz val="15"/>
        <color theme="1"/>
        <rFont val="新細明體"/>
        <family val="1"/>
        <charset val="136"/>
      </rPr>
      <t>年少年犯罪嫌疑人數與犯罪人口率</t>
    </r>
    <phoneticPr fontId="3" type="noConversion"/>
  </si>
  <si>
    <r>
      <rPr>
        <sz val="10"/>
        <color theme="1"/>
        <rFont val="新細明體"/>
        <family val="1"/>
        <charset val="136"/>
      </rPr>
      <t>單位：人、人</t>
    </r>
    <r>
      <rPr>
        <sz val="10"/>
        <color theme="1"/>
        <rFont val="Times New Roman"/>
        <family val="1"/>
      </rPr>
      <t>/10</t>
    </r>
    <r>
      <rPr>
        <sz val="10"/>
        <color theme="1"/>
        <rFont val="新細明體"/>
        <family val="1"/>
        <charset val="136"/>
      </rPr>
      <t>萬人</t>
    </r>
    <phoneticPr fontId="3" type="noConversion"/>
  </si>
  <si>
    <r>
      <rPr>
        <sz val="12"/>
        <color theme="1"/>
        <rFont val="新細明體"/>
        <family val="1"/>
        <charset val="136"/>
      </rPr>
      <t>少</t>
    </r>
    <r>
      <rPr>
        <sz val="12"/>
        <color theme="1"/>
        <rFont val="Times New Roman"/>
        <family val="1"/>
      </rPr>
      <t xml:space="preserve">    </t>
    </r>
    <r>
      <rPr>
        <sz val="12"/>
        <color theme="1"/>
        <rFont val="新細明體"/>
        <family val="1"/>
        <charset val="136"/>
      </rPr>
      <t>年</t>
    </r>
    <phoneticPr fontId="3" type="noConversion"/>
  </si>
  <si>
    <r>
      <rPr>
        <sz val="12"/>
        <color theme="1"/>
        <rFont val="新細明體"/>
        <family val="1"/>
        <charset val="136"/>
      </rPr>
      <t>成</t>
    </r>
    <r>
      <rPr>
        <sz val="12"/>
        <color theme="1"/>
        <rFont val="Times New Roman"/>
        <family val="1"/>
      </rPr>
      <t xml:space="preserve">    </t>
    </r>
    <r>
      <rPr>
        <sz val="12"/>
        <color theme="1"/>
        <rFont val="新細明體"/>
        <family val="1"/>
        <charset val="136"/>
      </rPr>
      <t>年</t>
    </r>
    <r>
      <rPr>
        <sz val="12"/>
        <color theme="1"/>
        <rFont val="Times New Roman"/>
        <family val="1"/>
      </rPr>
      <t/>
    </r>
    <phoneticPr fontId="3" type="noConversion"/>
  </si>
  <si>
    <t>年中人口數</t>
    <phoneticPr fontId="3" type="noConversion"/>
  </si>
  <si>
    <r>
      <rPr>
        <sz val="10"/>
        <color theme="1"/>
        <rFont val="新細明體"/>
        <family val="1"/>
        <charset val="136"/>
      </rPr>
      <t>犯罪嫌疑人數</t>
    </r>
    <r>
      <rPr>
        <sz val="10"/>
        <color theme="1"/>
        <rFont val="Times New Roman"/>
        <family val="1"/>
      </rPr>
      <t xml:space="preserve">  </t>
    </r>
    <phoneticPr fontId="3" type="noConversion"/>
  </si>
  <si>
    <r>
      <rPr>
        <sz val="10"/>
        <color theme="1"/>
        <rFont val="新細明體"/>
        <family val="1"/>
        <charset val="136"/>
      </rPr>
      <t>犯罪人口率</t>
    </r>
    <phoneticPr fontId="3" type="noConversion"/>
  </si>
  <si>
    <r>
      <rPr>
        <sz val="10"/>
        <color theme="1"/>
        <rFont val="新細明體"/>
        <family val="1"/>
        <charset val="136"/>
      </rPr>
      <t>犯罪嫌疑人數</t>
    </r>
    <phoneticPr fontId="3" type="noConversion"/>
  </si>
  <si>
    <r>
      <t>102年</t>
    </r>
    <r>
      <rPr>
        <sz val="12"/>
        <rFont val="細明體"/>
        <family val="3"/>
        <charset val="136"/>
      </rPr>
      <t/>
    </r>
  </si>
  <si>
    <r>
      <t>103年</t>
    </r>
    <r>
      <rPr>
        <sz val="12"/>
        <rFont val="細明體"/>
        <family val="3"/>
        <charset val="136"/>
      </rPr>
      <t/>
    </r>
  </si>
  <si>
    <r>
      <t>104年</t>
    </r>
    <r>
      <rPr>
        <sz val="12"/>
        <rFont val="細明體"/>
        <family val="3"/>
        <charset val="136"/>
      </rPr>
      <t/>
    </r>
  </si>
  <si>
    <r>
      <t>105年</t>
    </r>
    <r>
      <rPr>
        <sz val="12"/>
        <rFont val="細明體"/>
        <family val="3"/>
        <charset val="136"/>
      </rPr>
      <t/>
    </r>
  </si>
  <si>
    <r>
      <t>106年</t>
    </r>
    <r>
      <rPr>
        <sz val="12"/>
        <rFont val="細明體"/>
        <family val="3"/>
        <charset val="136"/>
      </rPr>
      <t/>
    </r>
  </si>
  <si>
    <r>
      <t>107年</t>
    </r>
    <r>
      <rPr>
        <sz val="12"/>
        <rFont val="細明體"/>
        <family val="3"/>
        <charset val="136"/>
      </rPr>
      <t/>
    </r>
  </si>
  <si>
    <r>
      <t>108年</t>
    </r>
    <r>
      <rPr>
        <sz val="12"/>
        <rFont val="細明體"/>
        <family val="3"/>
        <charset val="136"/>
      </rPr>
      <t/>
    </r>
  </si>
  <si>
    <r>
      <t>109年</t>
    </r>
    <r>
      <rPr>
        <sz val="12"/>
        <rFont val="細明體"/>
        <family val="3"/>
        <charset val="136"/>
      </rPr>
      <t/>
    </r>
  </si>
  <si>
    <r>
      <t>110年</t>
    </r>
    <r>
      <rPr>
        <sz val="12"/>
        <rFont val="細明體"/>
        <family val="3"/>
        <charset val="136"/>
      </rPr>
      <t/>
    </r>
  </si>
  <si>
    <t>資料來源：警政署刑事警察局、內政部歷年全國人口統計資料。</t>
    <phoneticPr fontId="3" type="noConversion"/>
  </si>
  <si>
    <r>
      <rPr>
        <sz val="10"/>
        <color theme="1"/>
        <rFont val="新細明體"/>
        <family val="1"/>
        <charset val="136"/>
      </rPr>
      <t>說　　明：</t>
    </r>
    <r>
      <rPr>
        <sz val="10"/>
        <color theme="1"/>
        <rFont val="Times New Roman"/>
        <family val="1"/>
      </rPr>
      <t xml:space="preserve">1. </t>
    </r>
    <r>
      <rPr>
        <sz val="10"/>
        <color theme="1"/>
        <rFont val="新細明體"/>
        <family val="1"/>
        <charset val="136"/>
      </rPr>
      <t>少年指</t>
    </r>
    <r>
      <rPr>
        <sz val="10"/>
        <color theme="1"/>
        <rFont val="Times New Roman"/>
        <family val="1"/>
      </rPr>
      <t>12</t>
    </r>
    <r>
      <rPr>
        <sz val="10"/>
        <color theme="1"/>
        <rFont val="新細明體"/>
        <family val="1"/>
        <charset val="136"/>
      </rPr>
      <t>歲以上</t>
    </r>
    <r>
      <rPr>
        <sz val="10"/>
        <color theme="1"/>
        <rFont val="Times New Roman"/>
        <family val="1"/>
      </rPr>
      <t>18</t>
    </r>
    <r>
      <rPr>
        <sz val="10"/>
        <color theme="1"/>
        <rFont val="新細明體"/>
        <family val="1"/>
        <charset val="136"/>
      </rPr>
      <t>歲未滿之人。
　　　　　</t>
    </r>
    <r>
      <rPr>
        <sz val="10"/>
        <color theme="1"/>
        <rFont val="Times New Roman"/>
        <family val="1"/>
      </rPr>
      <t xml:space="preserve">2. </t>
    </r>
    <r>
      <rPr>
        <sz val="10"/>
        <color theme="1"/>
        <rFont val="新細明體"/>
        <family val="1"/>
        <charset val="136"/>
      </rPr>
      <t>犯罪人口率</t>
    </r>
    <r>
      <rPr>
        <sz val="10"/>
        <color theme="1"/>
        <rFont val="Times New Roman"/>
        <family val="1"/>
      </rPr>
      <t>= (</t>
    </r>
    <r>
      <rPr>
        <sz val="10"/>
        <color theme="1"/>
        <rFont val="新細明體"/>
        <family val="1"/>
        <charset val="136"/>
      </rPr>
      <t>犯罪嫌疑人數</t>
    </r>
    <r>
      <rPr>
        <sz val="10"/>
        <color theme="1"/>
        <rFont val="Times New Roman"/>
        <family val="1"/>
      </rPr>
      <t xml:space="preserve"> / </t>
    </r>
    <r>
      <rPr>
        <sz val="10"/>
        <color theme="1"/>
        <rFont val="新細明體"/>
        <family val="1"/>
        <charset val="136"/>
      </rPr>
      <t>年中人口數</t>
    </r>
    <r>
      <rPr>
        <sz val="10"/>
        <color theme="1"/>
        <rFont val="Times New Roman"/>
        <family val="1"/>
      </rPr>
      <t>) * 100,000</t>
    </r>
    <r>
      <rPr>
        <sz val="10"/>
        <color theme="1"/>
        <rFont val="新細明體"/>
        <family val="1"/>
        <charset val="136"/>
      </rPr>
      <t>。</t>
    </r>
    <phoneticPr fontId="3" type="noConversion"/>
  </si>
  <si>
    <r>
      <rPr>
        <sz val="15"/>
        <color theme="1"/>
        <rFont val="新細明體"/>
        <family val="1"/>
        <charset val="136"/>
      </rPr>
      <t>表</t>
    </r>
    <r>
      <rPr>
        <sz val="15"/>
        <color theme="1"/>
        <rFont val="Times New Roman"/>
        <family val="1"/>
      </rPr>
      <t>3-1-2</t>
    </r>
    <r>
      <rPr>
        <sz val="15"/>
        <color theme="1"/>
        <rFont val="新細明體"/>
        <family val="1"/>
        <charset val="136"/>
      </rPr>
      <t>　近</t>
    </r>
    <r>
      <rPr>
        <sz val="15"/>
        <color theme="1"/>
        <rFont val="Times New Roman"/>
        <family val="1"/>
      </rPr>
      <t>10</t>
    </r>
    <r>
      <rPr>
        <sz val="15"/>
        <color theme="1"/>
        <rFont val="新細明體"/>
        <family val="1"/>
        <charset val="136"/>
      </rPr>
      <t>年少年嫌疑人之主要犯罪類別</t>
    </r>
    <phoneticPr fontId="3" type="noConversion"/>
  </si>
  <si>
    <r>
      <rPr>
        <sz val="10"/>
        <rFont val="新細明體"/>
        <family val="1"/>
        <charset val="136"/>
      </rPr>
      <t>人</t>
    </r>
    <phoneticPr fontId="3" type="noConversion"/>
  </si>
  <si>
    <t>詐欺</t>
    <phoneticPr fontId="2" type="noConversion"/>
  </si>
  <si>
    <t>妨害秩序</t>
  </si>
  <si>
    <t>竊盜</t>
  </si>
  <si>
    <t>一般傷害</t>
    <phoneticPr fontId="2" type="noConversion"/>
  </si>
  <si>
    <t>妨害自由</t>
  </si>
  <si>
    <t>公共危險</t>
  </si>
  <si>
    <t>駕駛過失</t>
  </si>
  <si>
    <t>賭博</t>
  </si>
  <si>
    <t>妨害名譽</t>
  </si>
  <si>
    <t>毀棄損壞</t>
  </si>
  <si>
    <t>侵占</t>
  </si>
  <si>
    <t>恐嚇取財</t>
  </si>
  <si>
    <t>偽造文書印文</t>
  </si>
  <si>
    <t>妨害家庭及婚姻</t>
  </si>
  <si>
    <t>妨害電腦使用</t>
  </si>
  <si>
    <t>妨害秘密</t>
  </si>
  <si>
    <t>故意殺人</t>
  </si>
  <si>
    <t>妨害公務</t>
  </si>
  <si>
    <t>藥事法</t>
    <phoneticPr fontId="2" type="noConversion"/>
  </si>
  <si>
    <t>妨害風化</t>
  </si>
  <si>
    <t>背信</t>
    <phoneticPr fontId="2" type="noConversion"/>
  </si>
  <si>
    <t>重利</t>
  </si>
  <si>
    <t>強盜</t>
  </si>
  <si>
    <t>著作權法</t>
  </si>
  <si>
    <t>誣告</t>
  </si>
  <si>
    <t>搶奪</t>
  </si>
  <si>
    <t>過失致死</t>
  </si>
  <si>
    <t>重傷害</t>
    <phoneticPr fontId="2" type="noConversion"/>
  </si>
  <si>
    <t>偽造貨幣</t>
  </si>
  <si>
    <t>遺棄</t>
  </si>
  <si>
    <t>贓物</t>
  </si>
  <si>
    <t>竊佔</t>
  </si>
  <si>
    <t>偽造有價證券</t>
  </si>
  <si>
    <t>偽證</t>
  </si>
  <si>
    <t>脫逃</t>
  </si>
  <si>
    <t>森林法</t>
  </si>
  <si>
    <t>藏匿頂替</t>
  </si>
  <si>
    <t>侵害墳墓屍體</t>
  </si>
  <si>
    <t>就業服務法</t>
    <phoneticPr fontId="2" type="noConversion"/>
  </si>
  <si>
    <t>湮滅證據</t>
  </si>
  <si>
    <t>擄人勒贖</t>
  </si>
  <si>
    <t>選罷法</t>
    <phoneticPr fontId="2" type="noConversion"/>
  </si>
  <si>
    <t>資料來源：內政部警政署刑事警察局、內政統計查詢網。</t>
    <phoneticPr fontId="2" type="noConversion"/>
  </si>
  <si>
    <r>
      <t>說　　明：少年指</t>
    </r>
    <r>
      <rPr>
        <sz val="12"/>
        <rFont val="Times New Roman"/>
        <family val="1"/>
      </rPr>
      <t>12</t>
    </r>
    <r>
      <rPr>
        <sz val="12"/>
        <rFont val="細明體"/>
        <family val="3"/>
        <charset val="136"/>
      </rPr>
      <t>歲以上未滿</t>
    </r>
    <r>
      <rPr>
        <sz val="12"/>
        <rFont val="Times New Roman"/>
        <family val="1"/>
      </rPr>
      <t>18</t>
    </r>
    <r>
      <rPr>
        <sz val="12"/>
        <rFont val="細明體"/>
        <family val="3"/>
        <charset val="136"/>
      </rPr>
      <t>歲之年齡層。</t>
    </r>
    <phoneticPr fontId="2" type="noConversion"/>
  </si>
  <si>
    <t>-</t>
    <phoneticPr fontId="2" type="noConversion"/>
  </si>
  <si>
    <r>
      <rPr>
        <sz val="10"/>
        <rFont val="新細明體"/>
        <family val="1"/>
        <charset val="136"/>
      </rPr>
      <t>說　　明：</t>
    </r>
    <r>
      <rPr>
        <sz val="10"/>
        <rFont val="Times New Roman"/>
        <family val="1"/>
      </rPr>
      <t xml:space="preserve">1. </t>
    </r>
    <r>
      <rPr>
        <sz val="10"/>
        <rFont val="新細明體"/>
        <family val="1"/>
        <charset val="136"/>
      </rPr>
      <t>移送檢察署事由含：犯最輕本刑為五年以上有期徒刑之罪、事件繫屬前已滿</t>
    </r>
    <r>
      <rPr>
        <sz val="10"/>
        <rFont val="Times New Roman"/>
        <family val="1"/>
      </rPr>
      <t>20</t>
    </r>
    <r>
      <rPr>
        <sz val="10"/>
        <rFont val="新細明體"/>
        <family val="1"/>
        <charset val="136"/>
      </rPr>
      <t>歲、犯罪情節重大。</t>
    </r>
    <phoneticPr fontId="3" type="noConversion"/>
  </si>
  <si>
    <r>
      <t xml:space="preserve">                  </t>
    </r>
    <r>
      <rPr>
        <sz val="12"/>
        <color theme="1"/>
        <rFont val="新細明體"/>
        <family val="2"/>
        <charset val="136"/>
        <scheme val="minor"/>
      </rPr>
      <t>事件繫屬前已滿</t>
    </r>
    <r>
      <rPr>
        <sz val="12"/>
        <color theme="1"/>
        <rFont val="新細明體"/>
        <family val="1"/>
        <scheme val="minor"/>
      </rPr>
      <t>20</t>
    </r>
    <r>
      <rPr>
        <sz val="12"/>
        <color theme="1"/>
        <rFont val="新細明體"/>
        <family val="2"/>
        <charset val="136"/>
        <scheme val="minor"/>
      </rPr>
      <t>歲</t>
    </r>
    <phoneticPr fontId="3" type="noConversion"/>
  </si>
  <si>
    <r>
      <rPr>
        <sz val="10"/>
        <color theme="1"/>
        <rFont val="新細明體"/>
        <family val="1"/>
        <charset val="136"/>
      </rPr>
      <t>說　　明：</t>
    </r>
    <r>
      <rPr>
        <sz val="10"/>
        <color theme="1"/>
        <rFont val="Times New Roman"/>
        <family val="1"/>
      </rPr>
      <t xml:space="preserve">1. </t>
    </r>
    <r>
      <rPr>
        <sz val="10"/>
        <color theme="1"/>
        <rFont val="新細明體"/>
        <family val="1"/>
        <charset val="136"/>
      </rPr>
      <t>本表保護事件、虞犯</t>
    </r>
    <r>
      <rPr>
        <sz val="10"/>
        <color theme="1"/>
        <rFont val="Times New Roman"/>
        <family val="1"/>
      </rPr>
      <t>/</t>
    </r>
    <r>
      <rPr>
        <sz val="10"/>
        <color theme="1"/>
        <rFont val="新細明體"/>
        <family val="1"/>
        <charset val="136"/>
      </rPr>
      <t>曝險，皆指當年度經法院裁定交付保護且經個案調查的少年。
　　　　　</t>
    </r>
    <r>
      <rPr>
        <sz val="10"/>
        <color theme="1"/>
        <rFont val="Times New Roman"/>
        <family val="1"/>
      </rPr>
      <t xml:space="preserve">2. </t>
    </r>
    <r>
      <rPr>
        <sz val="10"/>
        <color theme="1"/>
        <rFont val="新細明體"/>
        <family val="1"/>
        <charset val="136"/>
      </rPr>
      <t>本表刑事案件，係指當年度經法院裁判且經個案調查的少年。
　　　　　</t>
    </r>
    <r>
      <rPr>
        <b/>
        <sz val="10"/>
        <color theme="1"/>
        <rFont val="Times New Roman"/>
        <family val="1"/>
      </rPr>
      <t xml:space="preserve">3. </t>
    </r>
    <r>
      <rPr>
        <b/>
        <sz val="10"/>
        <color theme="1"/>
        <rFont val="新細明體"/>
        <family val="1"/>
        <charset val="136"/>
      </rPr>
      <t>本表指數以</t>
    </r>
    <r>
      <rPr>
        <b/>
        <sz val="10"/>
        <color theme="1"/>
        <rFont val="Times New Roman"/>
        <family val="1"/>
      </rPr>
      <t>102</t>
    </r>
    <r>
      <rPr>
        <b/>
        <sz val="10"/>
        <color theme="1"/>
        <rFont val="新細明體"/>
        <family val="1"/>
        <charset val="136"/>
      </rPr>
      <t>年為比較基準</t>
    </r>
    <r>
      <rPr>
        <sz val="10"/>
        <color theme="1"/>
        <rFont val="新細明體"/>
        <family val="1"/>
        <charset val="136"/>
      </rPr>
      <t>。
　　　　　</t>
    </r>
    <r>
      <rPr>
        <sz val="10"/>
        <color theme="1"/>
        <rFont val="Times New Roman"/>
        <family val="1"/>
      </rPr>
      <t xml:space="preserve">4. </t>
    </r>
    <r>
      <rPr>
        <sz val="10"/>
        <color theme="1"/>
        <rFont val="新細明體"/>
        <family val="1"/>
        <charset val="136"/>
      </rPr>
      <t>本表虞犯</t>
    </r>
    <r>
      <rPr>
        <sz val="10"/>
        <color theme="1"/>
        <rFont val="Times New Roman"/>
        <family val="1"/>
      </rPr>
      <t>/</t>
    </r>
    <r>
      <rPr>
        <sz val="10"/>
        <color theme="1"/>
        <rFont val="新細明體"/>
        <family val="1"/>
        <charset val="136"/>
      </rPr>
      <t>曝險欄，以</t>
    </r>
    <r>
      <rPr>
        <sz val="10"/>
        <color theme="1"/>
        <rFont val="Times New Roman"/>
        <family val="1"/>
      </rPr>
      <t>108</t>
    </r>
    <r>
      <rPr>
        <sz val="10"/>
        <color theme="1"/>
        <rFont val="新細明體"/>
        <family val="1"/>
        <charset val="136"/>
      </rPr>
      <t>年</t>
    </r>
    <r>
      <rPr>
        <sz val="10"/>
        <color theme="1"/>
        <rFont val="Times New Roman"/>
        <family val="1"/>
      </rPr>
      <t>6</t>
    </r>
    <r>
      <rPr>
        <sz val="10"/>
        <color theme="1"/>
        <rFont val="新細明體"/>
        <family val="1"/>
        <charset val="136"/>
      </rPr>
      <t>月</t>
    </r>
    <r>
      <rPr>
        <sz val="10"/>
        <color theme="1"/>
        <rFont val="Times New Roman"/>
        <family val="1"/>
      </rPr>
      <t>19</t>
    </r>
    <r>
      <rPr>
        <sz val="10"/>
        <color theme="1"/>
        <rFont val="新細明體"/>
        <family val="1"/>
        <charset val="136"/>
      </rPr>
      <t>日少事法修法施行前為虞犯少年，其後則為曝險少年。</t>
    </r>
    <phoneticPr fontId="3" type="noConversion"/>
  </si>
  <si>
    <t>跟蹤騷擾防制法</t>
    <phoneticPr fontId="2" type="noConversion"/>
  </si>
  <si>
    <r>
      <rPr>
        <sz val="10"/>
        <rFont val="新細明體"/>
        <family val="1"/>
        <charset val="136"/>
      </rPr>
      <t>說　　明：</t>
    </r>
    <r>
      <rPr>
        <sz val="10"/>
        <rFont val="新細明體"/>
        <family val="1"/>
        <charset val="136"/>
      </rPr>
      <t>本表不包含未經個案調查人數及虞犯</t>
    </r>
    <r>
      <rPr>
        <sz val="10"/>
        <rFont val="Times New Roman"/>
        <family val="1"/>
      </rPr>
      <t>/</t>
    </r>
    <r>
      <rPr>
        <sz val="10"/>
        <rFont val="新細明體"/>
        <family val="1"/>
        <charset val="136"/>
      </rPr>
      <t>曝險少年。</t>
    </r>
    <r>
      <rPr>
        <sz val="10"/>
        <rFont val="Times New Roman"/>
        <family val="1"/>
      </rPr>
      <t/>
    </r>
    <phoneticPr fontId="3" type="noConversion"/>
  </si>
  <si>
    <r>
      <t>12</t>
    </r>
    <r>
      <rPr>
        <sz val="12"/>
        <color theme="1"/>
        <rFont val="新細明體"/>
        <family val="1"/>
        <charset val="136"/>
      </rPr>
      <t>歲以上</t>
    </r>
    <r>
      <rPr>
        <sz val="12"/>
        <color theme="1"/>
        <rFont val="Times New Roman"/>
        <family val="1"/>
      </rPr>
      <t>13</t>
    </r>
    <r>
      <rPr>
        <sz val="12"/>
        <color theme="1"/>
        <rFont val="新細明體"/>
        <family val="1"/>
        <charset val="136"/>
      </rPr>
      <t>歲未滿</t>
    </r>
    <phoneticPr fontId="40" type="noConversion"/>
  </si>
  <si>
    <r>
      <t>13</t>
    </r>
    <r>
      <rPr>
        <sz val="12"/>
        <color theme="1"/>
        <rFont val="新細明體"/>
        <family val="1"/>
        <charset val="136"/>
      </rPr>
      <t>歲以上</t>
    </r>
    <r>
      <rPr>
        <sz val="12"/>
        <color theme="1"/>
        <rFont val="Times New Roman"/>
        <family val="1"/>
      </rPr>
      <t>14</t>
    </r>
    <r>
      <rPr>
        <sz val="12"/>
        <color theme="1"/>
        <rFont val="新細明體"/>
        <family val="1"/>
        <charset val="136"/>
      </rPr>
      <t>歲未滿</t>
    </r>
    <phoneticPr fontId="3" type="noConversion"/>
  </si>
  <si>
    <r>
      <t>14</t>
    </r>
    <r>
      <rPr>
        <sz val="12"/>
        <color theme="1"/>
        <rFont val="新細明體"/>
        <family val="1"/>
        <charset val="136"/>
      </rPr>
      <t>歲以上</t>
    </r>
    <r>
      <rPr>
        <sz val="12"/>
        <color theme="1"/>
        <rFont val="Times New Roman"/>
        <family val="1"/>
      </rPr>
      <t>15</t>
    </r>
    <r>
      <rPr>
        <sz val="12"/>
        <color theme="1"/>
        <rFont val="新細明體"/>
        <family val="1"/>
        <charset val="136"/>
      </rPr>
      <t>歲未滿</t>
    </r>
    <phoneticPr fontId="3" type="noConversion"/>
  </si>
  <si>
    <r>
      <t>15</t>
    </r>
    <r>
      <rPr>
        <sz val="12"/>
        <color theme="1"/>
        <rFont val="新細明體"/>
        <family val="1"/>
        <charset val="136"/>
      </rPr>
      <t>歲以上</t>
    </r>
    <r>
      <rPr>
        <sz val="12"/>
        <color theme="1"/>
        <rFont val="Times New Roman"/>
        <family val="1"/>
      </rPr>
      <t>16</t>
    </r>
    <r>
      <rPr>
        <sz val="12"/>
        <color theme="1"/>
        <rFont val="新細明體"/>
        <family val="1"/>
        <charset val="136"/>
      </rPr>
      <t>歲未滿</t>
    </r>
    <phoneticPr fontId="3" type="noConversion"/>
  </si>
  <si>
    <r>
      <t>16</t>
    </r>
    <r>
      <rPr>
        <sz val="12"/>
        <color theme="1"/>
        <rFont val="新細明體"/>
        <family val="1"/>
        <charset val="136"/>
      </rPr>
      <t>歲以上</t>
    </r>
    <r>
      <rPr>
        <sz val="12"/>
        <color theme="1"/>
        <rFont val="Times New Roman"/>
        <family val="1"/>
      </rPr>
      <t>17</t>
    </r>
    <r>
      <rPr>
        <sz val="12"/>
        <color theme="1"/>
        <rFont val="新細明體"/>
        <family val="1"/>
        <charset val="136"/>
      </rPr>
      <t>歲未滿</t>
    </r>
    <phoneticPr fontId="3" type="noConversion"/>
  </si>
  <si>
    <r>
      <t>17</t>
    </r>
    <r>
      <rPr>
        <sz val="12"/>
        <color theme="1"/>
        <rFont val="新細明體"/>
        <family val="1"/>
        <charset val="136"/>
      </rPr>
      <t>歲以上</t>
    </r>
    <r>
      <rPr>
        <sz val="12"/>
        <color theme="1"/>
        <rFont val="Times New Roman"/>
        <family val="1"/>
      </rPr>
      <t>18</t>
    </r>
    <r>
      <rPr>
        <sz val="12"/>
        <color theme="1"/>
        <rFont val="新細明體"/>
        <family val="1"/>
        <charset val="136"/>
      </rPr>
      <t>歲未滿</t>
    </r>
    <phoneticPr fontId="3" type="noConversion"/>
  </si>
  <si>
    <r>
      <rPr>
        <sz val="10"/>
        <color theme="1"/>
        <rFont val="新細明體"/>
        <family val="1"/>
        <charset val="136"/>
      </rPr>
      <t>資料來源：司法院</t>
    </r>
    <r>
      <rPr>
        <sz val="10"/>
        <color theme="1"/>
        <rFont val="Times New Roman"/>
        <family val="1"/>
      </rPr>
      <t xml:space="preserve"> (</t>
    </r>
    <r>
      <rPr>
        <sz val="10"/>
        <color theme="1"/>
        <rFont val="新細明體"/>
        <family val="1"/>
        <charset val="136"/>
      </rPr>
      <t>表</t>
    </r>
    <r>
      <rPr>
        <sz val="10"/>
        <color theme="1"/>
        <rFont val="Times New Roman"/>
        <family val="1"/>
      </rPr>
      <t>10914-03-04-05)</t>
    </r>
    <r>
      <rPr>
        <sz val="10"/>
        <color theme="1"/>
        <rFont val="新細明體"/>
        <family val="1"/>
        <charset val="136"/>
      </rPr>
      <t>。</t>
    </r>
    <phoneticPr fontId="40" type="noConversion"/>
  </si>
  <si>
    <r>
      <rPr>
        <sz val="12"/>
        <color theme="1"/>
        <rFont val="PMingLiU"/>
        <family val="1"/>
        <charset val="136"/>
      </rPr>
      <t>強盜罪</t>
    </r>
    <phoneticPr fontId="2" type="noConversion"/>
  </si>
  <si>
    <r>
      <rPr>
        <sz val="12"/>
        <color theme="1"/>
        <rFont val="細明體"/>
        <family val="3"/>
        <charset val="136"/>
      </rPr>
      <t>個人資料保護法</t>
    </r>
    <phoneticPr fontId="2" type="noConversion"/>
  </si>
  <si>
    <r>
      <rPr>
        <sz val="12"/>
        <color theme="1"/>
        <rFont val="細明體"/>
        <family val="3"/>
        <charset val="136"/>
      </rPr>
      <t>銀行法</t>
    </r>
    <phoneticPr fontId="2" type="noConversion"/>
  </si>
  <si>
    <r>
      <rPr>
        <sz val="12"/>
        <color theme="1"/>
        <rFont val="細明體"/>
        <family val="3"/>
        <charset val="136"/>
      </rPr>
      <t>動物傳染病防治條例</t>
    </r>
    <phoneticPr fontId="2" type="noConversion"/>
  </si>
  <si>
    <r>
      <rPr>
        <sz val="10"/>
        <color theme="1"/>
        <rFont val="新細明體"/>
        <family val="1"/>
        <charset val="136"/>
      </rPr>
      <t>說　　明：</t>
    </r>
    <r>
      <rPr>
        <sz val="10"/>
        <color theme="1"/>
        <rFont val="新細明體"/>
        <family val="1"/>
        <charset val="136"/>
      </rPr>
      <t>本表不包含未經個案調查人數及虞犯</t>
    </r>
    <r>
      <rPr>
        <sz val="10"/>
        <color theme="1"/>
        <rFont val="Times New Roman"/>
        <family val="1"/>
      </rPr>
      <t>/</t>
    </r>
    <r>
      <rPr>
        <sz val="10"/>
        <color theme="1"/>
        <rFont val="新細明體"/>
        <family val="1"/>
        <charset val="136"/>
      </rPr>
      <t>曝險少年。</t>
    </r>
    <r>
      <rPr>
        <sz val="10"/>
        <color theme="1"/>
        <rFont val="Times New Roman"/>
        <family val="1"/>
      </rPr>
      <t/>
    </r>
    <phoneticPr fontId="3" type="noConversion"/>
  </si>
  <si>
    <t>說　　明：1. 本表係以108年6月19日修法施行前條文為分類基準，並列述修法前後用語對照如下：
　　　　　(1) 無正當理由經常攜帶刀械者（修法前）、無正當理由經常攜帶危險器械（修法後）。
　　　　　(2) 吸食或施打煙毒或麻醉藥品以外之迷幻物品者（修法前）、有施用毒品或迷幻物品之行為而尚未觸犯刑罰法律（修法後）。
　　　　　(3) 有預備犯罪或犯罪未遂而為法所不罰之行為者（修法前）、有預備犯罪或犯罪未遂而為法所不罰之行為（修法後）。
　　　　　2. 本表虞犯/曝險少年，係指當年度經法院裁定交付保護處分且經個案調查者。
　　　　　3.基於少年事件處理法自108年修正虞犯少年為曝險少年，本表於108年6月前為虞犯少年數據，其後為曝險少年數據。</t>
    <phoneticPr fontId="40" type="noConversion"/>
  </si>
  <si>
    <r>
      <rPr>
        <sz val="10"/>
        <rFont val="新細明體"/>
        <family val="1"/>
        <charset val="136"/>
      </rPr>
      <t>說　　明：</t>
    </r>
    <r>
      <rPr>
        <sz val="10"/>
        <rFont val="新細明體"/>
        <family val="1"/>
        <charset val="136"/>
      </rPr>
      <t>本表不包含未經個案調查人數及虞犯</t>
    </r>
    <r>
      <rPr>
        <sz val="10"/>
        <rFont val="Times New Roman"/>
        <family val="1"/>
      </rPr>
      <t>/</t>
    </r>
    <r>
      <rPr>
        <sz val="10"/>
        <rFont val="新細明體"/>
        <family val="1"/>
        <charset val="136"/>
      </rPr>
      <t>曝險少年。</t>
    </r>
    <phoneticPr fontId="3" type="noConversion"/>
  </si>
  <si>
    <r>
      <rPr>
        <sz val="10"/>
        <rFont val="新細明體"/>
        <family val="1"/>
        <charset val="136"/>
      </rPr>
      <t>說　　明：</t>
    </r>
    <r>
      <rPr>
        <sz val="10"/>
        <rFont val="Times New Roman"/>
        <family val="1"/>
      </rPr>
      <t xml:space="preserve">1. </t>
    </r>
    <r>
      <rPr>
        <sz val="10"/>
        <rFont val="新細明體"/>
        <family val="1"/>
        <charset val="136"/>
      </rPr>
      <t>本表不包含未經個案調查人數及虞犯</t>
    </r>
    <r>
      <rPr>
        <sz val="10"/>
        <rFont val="Times New Roman"/>
        <family val="1"/>
      </rPr>
      <t>/</t>
    </r>
    <r>
      <rPr>
        <sz val="10"/>
        <rFont val="新細明體"/>
        <family val="1"/>
        <charset val="136"/>
      </rPr>
      <t>曝險少年。
　　　　　</t>
    </r>
    <r>
      <rPr>
        <sz val="10"/>
        <rFont val="Times New Roman"/>
        <family val="1"/>
      </rPr>
      <t xml:space="preserve">2. </t>
    </r>
    <r>
      <rPr>
        <sz val="10"/>
        <rFont val="新細明體"/>
        <family val="1"/>
        <charset val="136"/>
      </rPr>
      <t>肄業含在校及離校。</t>
    </r>
    <phoneticPr fontId="3" type="noConversion"/>
  </si>
  <si>
    <r>
      <rPr>
        <sz val="10"/>
        <rFont val="新細明體"/>
        <family val="1"/>
        <charset val="136"/>
      </rPr>
      <t>說　　明：</t>
    </r>
    <r>
      <rPr>
        <sz val="10"/>
        <rFont val="Times New Roman"/>
        <family val="1"/>
      </rPr>
      <t xml:space="preserve">1. </t>
    </r>
    <r>
      <rPr>
        <sz val="10"/>
        <rFont val="新細明體"/>
        <family val="1"/>
        <charset val="136"/>
      </rPr>
      <t>本表不包含未經個案調查人數及虞犯</t>
    </r>
    <r>
      <rPr>
        <sz val="10"/>
        <rFont val="Times New Roman"/>
        <family val="1"/>
      </rPr>
      <t>/</t>
    </r>
    <r>
      <rPr>
        <sz val="10"/>
        <rFont val="新細明體"/>
        <family val="1"/>
        <charset val="136"/>
      </rPr>
      <t>曝險少年。
　　　　　</t>
    </r>
    <r>
      <rPr>
        <sz val="10"/>
        <rFont val="Times New Roman"/>
        <family val="1"/>
      </rPr>
      <t xml:space="preserve">2. </t>
    </r>
    <r>
      <rPr>
        <sz val="10"/>
        <rFont val="新細明體"/>
        <family val="1"/>
        <charset val="136"/>
      </rPr>
      <t>本表原始檔案總計人數和前表不同，敬請留意。</t>
    </r>
    <phoneticPr fontId="3" type="noConversion"/>
  </si>
  <si>
    <t>說　　明：本表不包含未經個案調查人數及虞犯/曝險少年。</t>
    <phoneticPr fontId="3" type="noConversion"/>
  </si>
  <si>
    <r>
      <t>111年</t>
    </r>
    <r>
      <rPr>
        <sz val="12"/>
        <color theme="1"/>
        <rFont val="新細明體"/>
        <family val="2"/>
        <charset val="136"/>
        <scheme val="minor"/>
      </rPr>
      <t/>
    </r>
  </si>
  <si>
    <r>
      <t>111年</t>
    </r>
    <r>
      <rPr>
        <sz val="12"/>
        <color theme="1"/>
        <rFont val="新細明體"/>
        <family val="2"/>
      </rPr>
      <t/>
    </r>
  </si>
  <si>
    <t>兒少性剝削防制條例</t>
    <phoneticPr fontId="2" type="noConversion"/>
  </si>
  <si>
    <t>國小肄業</t>
    <phoneticPr fontId="2" type="noConversion"/>
  </si>
  <si>
    <t>國小畢業</t>
    <phoneticPr fontId="2" type="noConversion"/>
  </si>
  <si>
    <t>-</t>
    <phoneticPr fontId="2" type="noConversion"/>
  </si>
  <si>
    <r>
      <rPr>
        <sz val="10"/>
        <color theme="1"/>
        <rFont val="新細明體"/>
        <family val="2"/>
        <charset val="136"/>
      </rPr>
      <t>資料來源：司法院</t>
    </r>
    <r>
      <rPr>
        <sz val="10"/>
        <color theme="1"/>
        <rFont val="Times New Roman"/>
        <family val="1"/>
      </rPr>
      <t xml:space="preserve"> (</t>
    </r>
    <r>
      <rPr>
        <sz val="10"/>
        <color theme="1"/>
        <rFont val="新細明體"/>
        <family val="2"/>
        <charset val="136"/>
      </rPr>
      <t>表</t>
    </r>
    <r>
      <rPr>
        <sz val="10"/>
        <color theme="1"/>
        <rFont val="Times New Roman"/>
        <family val="1"/>
      </rPr>
      <t>10914-02-05-05)</t>
    </r>
    <r>
      <rPr>
        <sz val="10"/>
        <color theme="1"/>
        <rFont val="新細明體"/>
        <family val="2"/>
        <charset val="136"/>
      </rPr>
      <t>。</t>
    </r>
  </si>
  <si>
    <r>
      <rPr>
        <sz val="10"/>
        <color theme="1"/>
        <rFont val="新細明體"/>
        <family val="2"/>
        <charset val="136"/>
      </rPr>
      <t>說</t>
    </r>
    <r>
      <rPr>
        <sz val="10"/>
        <color theme="1"/>
        <rFont val="Times New Roman"/>
        <family val="1"/>
      </rPr>
      <t xml:space="preserve">         </t>
    </r>
    <r>
      <rPr>
        <sz val="10"/>
        <color theme="1"/>
        <rFont val="新細明體"/>
        <family val="2"/>
        <charset val="136"/>
      </rPr>
      <t>明：本表刑事案件，係指當年度經法院裁判且經個案調查的少年。</t>
    </r>
  </si>
  <si>
    <r>
      <rPr>
        <sz val="12"/>
        <color theme="1"/>
        <rFont val="新細明體"/>
        <family val="2"/>
        <charset val="136"/>
        <scheme val="minor"/>
      </rPr>
      <t>總計</t>
    </r>
    <r>
      <rPr>
        <sz val="12"/>
        <rFont val="Times New Roman"/>
        <family val="1"/>
      </rPr>
      <t xml:space="preserve"> </t>
    </r>
    <phoneticPr fontId="2" type="noConversion"/>
  </si>
  <si>
    <t>回本篇表次</t>
  </si>
  <si>
    <r>
      <rPr>
        <sz val="15"/>
        <rFont val="新細明體"/>
        <family val="1"/>
        <charset val="136"/>
      </rPr>
      <t>表</t>
    </r>
    <r>
      <rPr>
        <sz val="15"/>
        <rFont val="Times New Roman"/>
        <family val="1"/>
      </rPr>
      <t>3-2-3      111</t>
    </r>
    <r>
      <rPr>
        <sz val="15"/>
        <rFont val="新細明體"/>
        <family val="1"/>
        <charset val="136"/>
      </rPr>
      <t>年少年刑事案件裁判結果</t>
    </r>
    <phoneticPr fontId="3" type="noConversion"/>
  </si>
  <si>
    <r>
      <rPr>
        <sz val="15"/>
        <color theme="1"/>
        <rFont val="新細明體"/>
        <family val="1"/>
        <charset val="136"/>
      </rPr>
      <t>表</t>
    </r>
    <r>
      <rPr>
        <sz val="15"/>
        <color theme="1"/>
        <rFont val="Times New Roman"/>
        <family val="1"/>
      </rPr>
      <t>3-2-8</t>
    </r>
    <r>
      <rPr>
        <sz val="15"/>
        <color theme="1"/>
        <rFont val="新細明體"/>
        <family val="1"/>
        <charset val="136"/>
      </rPr>
      <t>　近</t>
    </r>
    <r>
      <rPr>
        <sz val="15"/>
        <color theme="1"/>
        <rFont val="Times New Roman"/>
        <family val="1"/>
      </rPr>
      <t>10</t>
    </r>
    <r>
      <rPr>
        <sz val="15"/>
        <color theme="1"/>
        <rFont val="新細明體"/>
        <family val="1"/>
        <charset val="136"/>
      </rPr>
      <t>年觸法少年交付保護處分之教育程度</t>
    </r>
    <phoneticPr fontId="3" type="noConversion"/>
  </si>
  <si>
    <r>
      <rPr>
        <sz val="15"/>
        <color theme="1"/>
        <rFont val="新細明體"/>
        <family val="1"/>
        <charset val="136"/>
      </rPr>
      <t>表</t>
    </r>
    <r>
      <rPr>
        <sz val="15"/>
        <color theme="1"/>
        <rFont val="Times New Roman"/>
        <family val="1"/>
      </rPr>
      <t>3-2-9</t>
    </r>
    <r>
      <rPr>
        <sz val="15"/>
        <color theme="1"/>
        <rFont val="新細明體"/>
        <family val="1"/>
        <charset val="136"/>
      </rPr>
      <t>　近</t>
    </r>
    <r>
      <rPr>
        <sz val="15"/>
        <color theme="1"/>
        <rFont val="Times New Roman"/>
        <family val="1"/>
      </rPr>
      <t>10</t>
    </r>
    <r>
      <rPr>
        <sz val="15"/>
        <color theme="1"/>
        <rFont val="新細明體"/>
        <family val="1"/>
        <charset val="136"/>
      </rPr>
      <t>年觸法少年交付保護處分之性別與就業情形</t>
    </r>
    <phoneticPr fontId="3" type="noConversion"/>
  </si>
  <si>
    <r>
      <rPr>
        <sz val="15"/>
        <color theme="1"/>
        <rFont val="新細明體"/>
        <family val="1"/>
        <charset val="136"/>
      </rPr>
      <t>表</t>
    </r>
    <r>
      <rPr>
        <sz val="15"/>
        <color theme="1"/>
        <rFont val="Times New Roman"/>
        <family val="1"/>
      </rPr>
      <t>3-2-10</t>
    </r>
    <r>
      <rPr>
        <sz val="15"/>
        <color theme="1"/>
        <rFont val="新細明體"/>
        <family val="1"/>
        <charset val="136"/>
      </rPr>
      <t>　近</t>
    </r>
    <r>
      <rPr>
        <sz val="15"/>
        <color theme="1"/>
        <rFont val="Times New Roman"/>
        <family val="1"/>
      </rPr>
      <t>10</t>
    </r>
    <r>
      <rPr>
        <sz val="15"/>
        <color theme="1"/>
        <rFont val="新細明體"/>
        <family val="1"/>
        <charset val="136"/>
      </rPr>
      <t>年觸法少年交付保護處分之家庭經濟狀況</t>
    </r>
    <phoneticPr fontId="3" type="noConversion"/>
  </si>
  <si>
    <r>
      <rPr>
        <sz val="15"/>
        <color theme="1"/>
        <rFont val="新細明體"/>
        <family val="1"/>
        <charset val="136"/>
      </rPr>
      <t>表</t>
    </r>
    <r>
      <rPr>
        <sz val="15"/>
        <color theme="1"/>
        <rFont val="Times New Roman"/>
        <family val="1"/>
      </rPr>
      <t xml:space="preserve">3-2-12     </t>
    </r>
    <r>
      <rPr>
        <sz val="15"/>
        <color theme="1"/>
        <rFont val="新細明體"/>
        <family val="1"/>
        <charset val="136"/>
      </rPr>
      <t>近</t>
    </r>
    <r>
      <rPr>
        <sz val="15"/>
        <color theme="1"/>
        <rFont val="Times New Roman"/>
        <family val="1"/>
      </rPr>
      <t>10</t>
    </r>
    <r>
      <rPr>
        <sz val="15"/>
        <color theme="1"/>
        <rFont val="新細明體"/>
        <family val="1"/>
        <charset val="136"/>
      </rPr>
      <t>年觸法少年交付保護處分之父母婚姻狀況</t>
    </r>
    <phoneticPr fontId="3" type="noConversion"/>
  </si>
  <si>
    <r>
      <rPr>
        <sz val="15"/>
        <color theme="1"/>
        <rFont val="新細明體"/>
        <family val="1"/>
        <charset val="136"/>
      </rPr>
      <t>表</t>
    </r>
    <r>
      <rPr>
        <sz val="15"/>
        <color theme="1"/>
        <rFont val="Times New Roman"/>
        <family val="1"/>
      </rPr>
      <t xml:space="preserve">3-2-13    </t>
    </r>
    <r>
      <rPr>
        <sz val="15"/>
        <color theme="1"/>
        <rFont val="新細明體"/>
        <family val="1"/>
        <charset val="136"/>
      </rPr>
      <t>近</t>
    </r>
    <r>
      <rPr>
        <sz val="15"/>
        <color theme="1"/>
        <rFont val="Times New Roman"/>
        <family val="1"/>
      </rPr>
      <t>10</t>
    </r>
    <r>
      <rPr>
        <sz val="15"/>
        <color theme="1"/>
        <rFont val="新細明體"/>
        <family val="1"/>
        <charset val="136"/>
      </rPr>
      <t>年少年刑事案件性別與罪名</t>
    </r>
    <phoneticPr fontId="3" type="noConversion"/>
  </si>
  <si>
    <r>
      <rPr>
        <sz val="15"/>
        <color theme="1"/>
        <rFont val="細明體"/>
        <family val="3"/>
        <charset val="136"/>
      </rPr>
      <t>表</t>
    </r>
    <r>
      <rPr>
        <sz val="15"/>
        <color theme="1"/>
        <rFont val="Times New Roman"/>
        <family val="1"/>
      </rPr>
      <t>3-2-15</t>
    </r>
    <r>
      <rPr>
        <sz val="15"/>
        <color theme="1"/>
        <rFont val="細明體"/>
        <family val="3"/>
        <charset val="136"/>
      </rPr>
      <t>　</t>
    </r>
    <r>
      <rPr>
        <sz val="15"/>
        <color theme="1"/>
        <rFont val="Times New Roman"/>
        <family val="1"/>
      </rPr>
      <t>111</t>
    </r>
    <r>
      <rPr>
        <sz val="15"/>
        <color theme="1"/>
        <rFont val="細明體"/>
        <family val="3"/>
        <charset val="136"/>
      </rPr>
      <t>年少年刑事案件之年齡、性別與罪名</t>
    </r>
    <phoneticPr fontId="3" type="noConversion"/>
  </si>
  <si>
    <r>
      <rPr>
        <sz val="15"/>
        <rFont val="新細明體"/>
        <family val="1"/>
        <charset val="136"/>
      </rPr>
      <t>表</t>
    </r>
    <r>
      <rPr>
        <sz val="15"/>
        <rFont val="Times New Roman"/>
        <family val="1"/>
      </rPr>
      <t>3-2-16</t>
    </r>
    <r>
      <rPr>
        <sz val="15"/>
        <rFont val="新細明體"/>
        <family val="1"/>
        <charset val="136"/>
      </rPr>
      <t>　</t>
    </r>
    <r>
      <rPr>
        <sz val="15"/>
        <rFont val="Times New Roman"/>
        <family val="1"/>
      </rPr>
      <t xml:space="preserve"> </t>
    </r>
    <r>
      <rPr>
        <sz val="15"/>
        <rFont val="新細明體"/>
        <family val="1"/>
        <charset val="136"/>
      </rPr>
      <t>近</t>
    </r>
    <r>
      <rPr>
        <sz val="15"/>
        <rFont val="Times New Roman"/>
        <family val="1"/>
      </rPr>
      <t>10</t>
    </r>
    <r>
      <rPr>
        <sz val="15"/>
        <rFont val="新細明體"/>
        <family val="1"/>
        <charset val="136"/>
      </rPr>
      <t>年少年刑事案件教育程度</t>
    </r>
    <phoneticPr fontId="3" type="noConversion"/>
  </si>
  <si>
    <r>
      <rPr>
        <sz val="15"/>
        <color theme="1"/>
        <rFont val="新細明體"/>
        <family val="1"/>
        <charset val="136"/>
      </rPr>
      <t>表</t>
    </r>
    <r>
      <rPr>
        <sz val="15"/>
        <color theme="1"/>
        <rFont val="Times New Roman"/>
        <family val="1"/>
      </rPr>
      <t>3-2-17</t>
    </r>
    <r>
      <rPr>
        <sz val="15"/>
        <color theme="1"/>
        <rFont val="新細明體"/>
        <family val="1"/>
        <charset val="136"/>
      </rPr>
      <t>　近</t>
    </r>
    <r>
      <rPr>
        <sz val="15"/>
        <color theme="1"/>
        <rFont val="Times New Roman"/>
        <family val="1"/>
      </rPr>
      <t>10</t>
    </r>
    <r>
      <rPr>
        <sz val="15"/>
        <color theme="1"/>
        <rFont val="新細明體"/>
        <family val="1"/>
        <charset val="136"/>
      </rPr>
      <t>年少年刑事案件之性別與就業情形</t>
    </r>
    <phoneticPr fontId="3" type="noConversion"/>
  </si>
  <si>
    <r>
      <rPr>
        <sz val="15"/>
        <rFont val="新細明體"/>
        <family val="1"/>
        <charset val="136"/>
      </rPr>
      <t>表</t>
    </r>
    <r>
      <rPr>
        <sz val="15"/>
        <rFont val="Times New Roman"/>
        <family val="1"/>
      </rPr>
      <t>3-2-18</t>
    </r>
    <r>
      <rPr>
        <sz val="15"/>
        <rFont val="新細明體"/>
        <family val="1"/>
        <charset val="136"/>
      </rPr>
      <t>　近</t>
    </r>
    <r>
      <rPr>
        <sz val="15"/>
        <rFont val="Times New Roman"/>
        <family val="1"/>
      </rPr>
      <t>10</t>
    </r>
    <r>
      <rPr>
        <sz val="15"/>
        <rFont val="新細明體"/>
        <family val="1"/>
        <charset val="136"/>
      </rPr>
      <t>年少年刑事案件家庭經濟狀況</t>
    </r>
    <phoneticPr fontId="3" type="noConversion"/>
  </si>
  <si>
    <r>
      <rPr>
        <sz val="14"/>
        <color theme="1"/>
        <rFont val="新細明體"/>
        <family val="2"/>
        <charset val="136"/>
      </rPr>
      <t>表</t>
    </r>
    <r>
      <rPr>
        <sz val="14"/>
        <color theme="1"/>
        <rFont val="Times New Roman"/>
        <family val="1"/>
      </rPr>
      <t>3-2-19</t>
    </r>
    <r>
      <rPr>
        <sz val="14"/>
        <color theme="1"/>
        <rFont val="新細明體"/>
        <family val="2"/>
        <charset val="136"/>
      </rPr>
      <t>　</t>
    </r>
    <r>
      <rPr>
        <sz val="14"/>
        <color theme="1"/>
        <rFont val="Times New Roman"/>
        <family val="1"/>
      </rPr>
      <t xml:space="preserve"> </t>
    </r>
    <r>
      <rPr>
        <sz val="14"/>
        <color theme="1"/>
        <rFont val="新細明體"/>
        <family val="2"/>
        <charset val="136"/>
      </rPr>
      <t>近</t>
    </r>
    <r>
      <rPr>
        <sz val="14"/>
        <color theme="1"/>
        <rFont val="Times New Roman"/>
        <family val="1"/>
      </rPr>
      <t>10</t>
    </r>
    <r>
      <rPr>
        <sz val="14"/>
        <color theme="1"/>
        <rFont val="新細明體"/>
        <family val="2"/>
        <charset val="136"/>
      </rPr>
      <t>年少年刑事案件父母現況</t>
    </r>
    <phoneticPr fontId="2" type="noConversion"/>
  </si>
  <si>
    <r>
      <rPr>
        <sz val="15"/>
        <color theme="1"/>
        <rFont val="新細明體"/>
        <family val="1"/>
        <charset val="136"/>
      </rPr>
      <t>表</t>
    </r>
    <r>
      <rPr>
        <sz val="15"/>
        <color theme="1"/>
        <rFont val="Times New Roman"/>
        <family val="1"/>
      </rPr>
      <t>3-2-21</t>
    </r>
    <r>
      <rPr>
        <sz val="15"/>
        <color theme="1"/>
        <rFont val="新細明體"/>
        <family val="1"/>
        <charset val="136"/>
      </rPr>
      <t>　近</t>
    </r>
    <r>
      <rPr>
        <sz val="15"/>
        <color theme="1"/>
        <rFont val="Times New Roman"/>
        <family val="1"/>
      </rPr>
      <t>10</t>
    </r>
    <r>
      <rPr>
        <sz val="15"/>
        <color theme="1"/>
        <rFont val="新細明體"/>
        <family val="1"/>
        <charset val="136"/>
      </rPr>
      <t>年曝險少年交付保護處分之性別與行為</t>
    </r>
    <phoneticPr fontId="3" type="noConversion"/>
  </si>
  <si>
    <r>
      <rPr>
        <sz val="15"/>
        <color theme="1"/>
        <rFont val="新細明體"/>
        <family val="1"/>
        <charset val="136"/>
      </rPr>
      <t>表</t>
    </r>
    <r>
      <rPr>
        <sz val="15"/>
        <color theme="1"/>
        <rFont val="Times New Roman"/>
        <family val="1"/>
      </rPr>
      <t>3-2-22</t>
    </r>
    <r>
      <rPr>
        <sz val="15"/>
        <color theme="1"/>
        <rFont val="新細明體"/>
        <family val="1"/>
        <charset val="136"/>
      </rPr>
      <t>　近</t>
    </r>
    <r>
      <rPr>
        <sz val="15"/>
        <color theme="1"/>
        <rFont val="Times New Roman"/>
        <family val="1"/>
      </rPr>
      <t>10</t>
    </r>
    <r>
      <rPr>
        <sz val="15"/>
        <color theme="1"/>
        <rFont val="新細明體"/>
        <family val="1"/>
        <charset val="136"/>
      </rPr>
      <t>年曝險少年交付保護處分之性別與年齡</t>
    </r>
    <phoneticPr fontId="3" type="noConversion"/>
  </si>
  <si>
    <r>
      <rPr>
        <sz val="15"/>
        <color theme="1"/>
        <rFont val="新細明體"/>
        <family val="1"/>
        <charset val="136"/>
      </rPr>
      <t>表</t>
    </r>
    <r>
      <rPr>
        <sz val="15"/>
        <color theme="1"/>
        <rFont val="Times New Roman"/>
        <family val="1"/>
      </rPr>
      <t>3-2-23</t>
    </r>
    <r>
      <rPr>
        <sz val="15"/>
        <color theme="1"/>
        <rFont val="新細明體"/>
        <family val="1"/>
        <charset val="136"/>
      </rPr>
      <t>　近</t>
    </r>
    <r>
      <rPr>
        <sz val="15"/>
        <color theme="1"/>
        <rFont val="Times New Roman"/>
        <family val="1"/>
      </rPr>
      <t>10</t>
    </r>
    <r>
      <rPr>
        <sz val="15"/>
        <color theme="1"/>
        <rFont val="新細明體"/>
        <family val="1"/>
        <charset val="136"/>
      </rPr>
      <t>年曝險少年交付保護處分之教育程度</t>
    </r>
    <phoneticPr fontId="3" type="noConversion"/>
  </si>
  <si>
    <r>
      <rPr>
        <sz val="15"/>
        <color theme="1"/>
        <rFont val="新細明體"/>
        <family val="1"/>
        <charset val="136"/>
      </rPr>
      <t>表</t>
    </r>
    <r>
      <rPr>
        <sz val="15"/>
        <color theme="1"/>
        <rFont val="Times New Roman"/>
        <family val="1"/>
      </rPr>
      <t>3-2-24</t>
    </r>
    <r>
      <rPr>
        <sz val="15"/>
        <color theme="1"/>
        <rFont val="新細明體"/>
        <family val="1"/>
        <charset val="136"/>
      </rPr>
      <t>　近</t>
    </r>
    <r>
      <rPr>
        <sz val="15"/>
        <color theme="1"/>
        <rFont val="Times New Roman"/>
        <family val="1"/>
      </rPr>
      <t>10</t>
    </r>
    <r>
      <rPr>
        <sz val="15"/>
        <color theme="1"/>
        <rFont val="新細明體"/>
        <family val="1"/>
        <charset val="136"/>
      </rPr>
      <t>年曝險少年交付保護處分之性別與就業情形</t>
    </r>
    <phoneticPr fontId="3" type="noConversion"/>
  </si>
  <si>
    <r>
      <rPr>
        <sz val="15"/>
        <color theme="1"/>
        <rFont val="新細明體"/>
        <family val="1"/>
        <charset val="136"/>
      </rPr>
      <t>表</t>
    </r>
    <r>
      <rPr>
        <sz val="15"/>
        <color theme="1"/>
        <rFont val="Times New Roman"/>
        <family val="1"/>
      </rPr>
      <t>3-2-26</t>
    </r>
    <r>
      <rPr>
        <sz val="15"/>
        <color theme="1"/>
        <rFont val="新細明體"/>
        <family val="1"/>
        <charset val="136"/>
      </rPr>
      <t>　近</t>
    </r>
    <r>
      <rPr>
        <sz val="15"/>
        <color theme="1"/>
        <rFont val="Times New Roman"/>
        <family val="1"/>
      </rPr>
      <t>10</t>
    </r>
    <r>
      <rPr>
        <sz val="15"/>
        <color theme="1"/>
        <rFont val="新細明體"/>
        <family val="1"/>
        <charset val="136"/>
      </rPr>
      <t>年曝險少年交付保護處分之父母現況</t>
    </r>
    <phoneticPr fontId="3" type="noConversion"/>
  </si>
  <si>
    <r>
      <rPr>
        <sz val="15"/>
        <rFont val="新細明體"/>
        <family val="1"/>
        <charset val="136"/>
      </rPr>
      <t>表</t>
    </r>
    <r>
      <rPr>
        <sz val="15"/>
        <rFont val="Times New Roman"/>
        <family val="1"/>
      </rPr>
      <t xml:space="preserve"> 3-3-1</t>
    </r>
    <r>
      <rPr>
        <sz val="15"/>
        <rFont val="新細明體"/>
        <family val="1"/>
        <charset val="136"/>
      </rPr>
      <t>　近</t>
    </r>
    <r>
      <rPr>
        <sz val="15"/>
        <rFont val="Times New Roman"/>
        <family val="1"/>
      </rPr>
      <t>5</t>
    </r>
    <r>
      <rPr>
        <sz val="15"/>
        <rFont val="新細明體"/>
        <family val="1"/>
        <charset val="136"/>
      </rPr>
      <t>年少年觀護所新入所收容</t>
    </r>
    <r>
      <rPr>
        <sz val="15"/>
        <rFont val="Times New Roman"/>
        <family val="1"/>
      </rPr>
      <t>/</t>
    </r>
    <r>
      <rPr>
        <sz val="15"/>
        <rFont val="新細明體"/>
        <family val="1"/>
        <charset val="136"/>
      </rPr>
      <t>羈押人數與性別</t>
    </r>
    <phoneticPr fontId="40" type="noConversion"/>
  </si>
  <si>
    <r>
      <rPr>
        <sz val="15"/>
        <color theme="1"/>
        <rFont val="新細明體"/>
        <family val="1"/>
        <charset val="136"/>
      </rPr>
      <t>表</t>
    </r>
    <r>
      <rPr>
        <sz val="15"/>
        <color theme="1"/>
        <rFont val="Times New Roman"/>
        <family val="1"/>
      </rPr>
      <t xml:space="preserve"> 3-3-2</t>
    </r>
    <r>
      <rPr>
        <sz val="15"/>
        <color theme="1"/>
        <rFont val="新細明體"/>
        <family val="1"/>
        <charset val="136"/>
      </rPr>
      <t>　近</t>
    </r>
    <r>
      <rPr>
        <sz val="15"/>
        <color theme="1"/>
        <rFont val="Times New Roman"/>
        <family val="1"/>
      </rPr>
      <t>5</t>
    </r>
    <r>
      <rPr>
        <sz val="15"/>
        <color theme="1"/>
        <rFont val="新細明體"/>
        <family val="1"/>
        <charset val="136"/>
      </rPr>
      <t>年少年觀護所新入所收容</t>
    </r>
    <r>
      <rPr>
        <sz val="15"/>
        <color theme="1"/>
        <rFont val="Times New Roman"/>
        <family val="1"/>
      </rPr>
      <t>/</t>
    </r>
    <r>
      <rPr>
        <sz val="15"/>
        <color theme="1"/>
        <rFont val="新細明體"/>
        <family val="1"/>
        <charset val="136"/>
      </rPr>
      <t>羈押少年之性別與年齡</t>
    </r>
    <phoneticPr fontId="40" type="noConversion"/>
  </si>
  <si>
    <r>
      <rPr>
        <sz val="15"/>
        <color theme="1"/>
        <rFont val="新細明體"/>
        <family val="1"/>
        <charset val="136"/>
      </rPr>
      <t>表</t>
    </r>
    <r>
      <rPr>
        <sz val="15"/>
        <color theme="1"/>
        <rFont val="Times New Roman"/>
        <family val="1"/>
      </rPr>
      <t xml:space="preserve"> 3-3-3</t>
    </r>
    <r>
      <rPr>
        <sz val="15"/>
        <color theme="1"/>
        <rFont val="新細明體"/>
        <family val="1"/>
        <charset val="136"/>
      </rPr>
      <t>　近</t>
    </r>
    <r>
      <rPr>
        <sz val="15"/>
        <color theme="1"/>
        <rFont val="Times New Roman"/>
        <family val="1"/>
      </rPr>
      <t>5</t>
    </r>
    <r>
      <rPr>
        <sz val="15"/>
        <color theme="1"/>
        <rFont val="新細明體"/>
        <family val="1"/>
        <charset val="136"/>
      </rPr>
      <t>年少年觀護所新入所收容</t>
    </r>
    <r>
      <rPr>
        <sz val="15"/>
        <color theme="1"/>
        <rFont val="Times New Roman"/>
        <family val="1"/>
      </rPr>
      <t>/</t>
    </r>
    <r>
      <rPr>
        <sz val="15"/>
        <color theme="1"/>
        <rFont val="新細明體"/>
        <family val="1"/>
        <charset val="136"/>
      </rPr>
      <t>羈押少年之性別與教育程度</t>
    </r>
    <phoneticPr fontId="40" type="noConversion"/>
  </si>
  <si>
    <r>
      <t xml:space="preserve"> </t>
    </r>
    <r>
      <rPr>
        <sz val="15"/>
        <color theme="1"/>
        <rFont val="新細明體"/>
        <family val="1"/>
        <charset val="136"/>
      </rPr>
      <t>表</t>
    </r>
    <r>
      <rPr>
        <sz val="15"/>
        <color theme="1"/>
        <rFont val="Times New Roman"/>
        <family val="1"/>
      </rPr>
      <t xml:space="preserve"> 3-3-5</t>
    </r>
    <r>
      <rPr>
        <sz val="15"/>
        <color theme="1"/>
        <rFont val="新細明體"/>
        <family val="1"/>
        <charset val="136"/>
      </rPr>
      <t>　近</t>
    </r>
    <r>
      <rPr>
        <sz val="15"/>
        <color theme="1"/>
        <rFont val="Times New Roman"/>
        <family val="1"/>
      </rPr>
      <t>5</t>
    </r>
    <r>
      <rPr>
        <sz val="15"/>
        <color theme="1"/>
        <rFont val="新細明體"/>
        <family val="1"/>
        <charset val="136"/>
      </rPr>
      <t>年少年觀護所新入所收容</t>
    </r>
    <r>
      <rPr>
        <sz val="15"/>
        <color theme="1"/>
        <rFont val="Times New Roman"/>
        <family val="1"/>
      </rPr>
      <t>/</t>
    </r>
    <r>
      <rPr>
        <sz val="15"/>
        <color theme="1"/>
        <rFont val="新細明體"/>
        <family val="1"/>
        <charset val="136"/>
      </rPr>
      <t>羈押少年之性別與罪名</t>
    </r>
    <phoneticPr fontId="40" type="noConversion"/>
  </si>
  <si>
    <r>
      <rPr>
        <sz val="15"/>
        <rFont val="新細明體"/>
        <family val="1"/>
        <charset val="136"/>
      </rPr>
      <t>表</t>
    </r>
    <r>
      <rPr>
        <sz val="15"/>
        <rFont val="Times New Roman"/>
        <family val="1"/>
      </rPr>
      <t xml:space="preserve"> 3-3-7</t>
    </r>
    <r>
      <rPr>
        <sz val="15"/>
        <rFont val="新細明體"/>
        <family val="1"/>
        <charset val="136"/>
      </rPr>
      <t>　近</t>
    </r>
    <r>
      <rPr>
        <sz val="15"/>
        <rFont val="Times New Roman"/>
        <family val="1"/>
      </rPr>
      <t>5</t>
    </r>
    <r>
      <rPr>
        <sz val="15"/>
        <rFont val="新細明體"/>
        <family val="1"/>
        <charset val="136"/>
      </rPr>
      <t>年少年矯正學校實際出校的感化教育學生之性別</t>
    </r>
    <phoneticPr fontId="2" type="noConversion"/>
  </si>
  <si>
    <r>
      <rPr>
        <sz val="15"/>
        <rFont val="細明體"/>
        <family val="3"/>
        <charset val="136"/>
      </rPr>
      <t>表</t>
    </r>
    <r>
      <rPr>
        <sz val="15"/>
        <rFont val="Times New Roman"/>
        <family val="1"/>
      </rPr>
      <t xml:space="preserve"> 3-3-8</t>
    </r>
    <r>
      <rPr>
        <sz val="15"/>
        <rFont val="細明體"/>
        <family val="3"/>
        <charset val="136"/>
      </rPr>
      <t>　近</t>
    </r>
    <r>
      <rPr>
        <sz val="15"/>
        <rFont val="Times New Roman"/>
        <family val="1"/>
      </rPr>
      <t>5</t>
    </r>
    <r>
      <rPr>
        <sz val="15"/>
        <rFont val="細明體"/>
        <family val="3"/>
        <charset val="136"/>
      </rPr>
      <t>年少年矯正學校新入校受感化教育學生之性別與年齡</t>
    </r>
    <phoneticPr fontId="2" type="noConversion"/>
  </si>
  <si>
    <r>
      <rPr>
        <sz val="15"/>
        <rFont val="細明體"/>
        <family val="3"/>
        <charset val="136"/>
      </rPr>
      <t>表</t>
    </r>
    <r>
      <rPr>
        <sz val="15"/>
        <rFont val="Times New Roman"/>
        <family val="1"/>
      </rPr>
      <t xml:space="preserve"> 3-3-9</t>
    </r>
    <r>
      <rPr>
        <sz val="15"/>
        <rFont val="細明體"/>
        <family val="3"/>
        <charset val="136"/>
      </rPr>
      <t>　近</t>
    </r>
    <r>
      <rPr>
        <sz val="15"/>
        <rFont val="Times New Roman"/>
        <family val="1"/>
      </rPr>
      <t>5</t>
    </r>
    <r>
      <rPr>
        <sz val="15"/>
        <rFont val="細明體"/>
        <family val="3"/>
        <charset val="136"/>
      </rPr>
      <t>年少年矯正學校新入校受感化教育學生之性別與教育程度</t>
    </r>
    <phoneticPr fontId="2" type="noConversion"/>
  </si>
  <si>
    <r>
      <rPr>
        <sz val="15"/>
        <rFont val="細明體"/>
        <family val="3"/>
        <charset val="136"/>
      </rPr>
      <t>表</t>
    </r>
    <r>
      <rPr>
        <sz val="15"/>
        <rFont val="Times New Roman"/>
        <family val="1"/>
      </rPr>
      <t xml:space="preserve"> 3-3-10</t>
    </r>
    <r>
      <rPr>
        <sz val="15"/>
        <rFont val="細明體"/>
        <family val="3"/>
        <charset val="136"/>
      </rPr>
      <t>　近</t>
    </r>
    <r>
      <rPr>
        <sz val="15"/>
        <rFont val="Times New Roman"/>
        <family val="1"/>
      </rPr>
      <t>5</t>
    </r>
    <r>
      <rPr>
        <sz val="15"/>
        <rFont val="細明體"/>
        <family val="3"/>
        <charset val="136"/>
      </rPr>
      <t>年少年矯正學校新入校受感化教育學生之性別與家庭經濟狀況</t>
    </r>
    <phoneticPr fontId="2" type="noConversion"/>
  </si>
  <si>
    <r>
      <rPr>
        <sz val="15"/>
        <rFont val="細明體"/>
        <family val="3"/>
        <charset val="136"/>
      </rPr>
      <t>表</t>
    </r>
    <r>
      <rPr>
        <sz val="15"/>
        <rFont val="Times New Roman"/>
        <family val="1"/>
      </rPr>
      <t xml:space="preserve">  3-3-11</t>
    </r>
    <r>
      <rPr>
        <sz val="15"/>
        <rFont val="細明體"/>
        <family val="3"/>
        <charset val="136"/>
      </rPr>
      <t>　近</t>
    </r>
    <r>
      <rPr>
        <sz val="15"/>
        <rFont val="Times New Roman"/>
        <family val="1"/>
      </rPr>
      <t>5</t>
    </r>
    <r>
      <rPr>
        <sz val="15"/>
        <rFont val="細明體"/>
        <family val="3"/>
        <charset val="136"/>
      </rPr>
      <t>年少年矯正學校新入校受感化教育學生之性別與罪名</t>
    </r>
    <phoneticPr fontId="2" type="noConversion"/>
  </si>
  <si>
    <r>
      <rPr>
        <sz val="15"/>
        <color theme="1"/>
        <rFont val="新細明體"/>
        <family val="1"/>
        <charset val="136"/>
      </rPr>
      <t>表</t>
    </r>
    <r>
      <rPr>
        <sz val="15"/>
        <color theme="1"/>
        <rFont val="Times New Roman"/>
        <family val="1"/>
      </rPr>
      <t>3-3-12</t>
    </r>
    <r>
      <rPr>
        <sz val="15"/>
        <color theme="1"/>
        <rFont val="新細明體"/>
        <family val="1"/>
        <charset val="136"/>
      </rPr>
      <t>　近</t>
    </r>
    <r>
      <rPr>
        <sz val="15"/>
        <color theme="1"/>
        <rFont val="Times New Roman"/>
        <family val="1"/>
      </rPr>
      <t>5</t>
    </r>
    <r>
      <rPr>
        <sz val="15"/>
        <color theme="1"/>
        <rFont val="新細明體"/>
        <family val="1"/>
        <charset val="136"/>
      </rPr>
      <t>年明陽中學在校少年受刑人之性別</t>
    </r>
    <phoneticPr fontId="40" type="noConversion"/>
  </si>
  <si>
    <r>
      <rPr>
        <b/>
        <sz val="12"/>
        <color theme="1"/>
        <rFont val="新細明體"/>
        <family val="1"/>
        <charset val="136"/>
      </rPr>
      <t>「中華民國一一一年犯罪狀況及其分析」第三篇表次</t>
    </r>
    <phoneticPr fontId="23" type="noConversion"/>
  </si>
  <si>
    <r>
      <rPr>
        <sz val="12"/>
        <color rgb="FF002060"/>
        <rFont val="新細明體"/>
        <family val="2"/>
        <charset val="136"/>
      </rPr>
      <t>表</t>
    </r>
    <r>
      <rPr>
        <sz val="12"/>
        <color rgb="FF002060"/>
        <rFont val="Times New Roman"/>
        <family val="1"/>
      </rPr>
      <t>3-1-1</t>
    </r>
    <r>
      <rPr>
        <sz val="12"/>
        <color rgb="FF002060"/>
        <rFont val="新細明體"/>
        <family val="2"/>
        <charset val="136"/>
      </rPr>
      <t>　近</t>
    </r>
    <r>
      <rPr>
        <sz val="12"/>
        <color rgb="FF002060"/>
        <rFont val="Times New Roman"/>
        <family val="1"/>
      </rPr>
      <t>10</t>
    </r>
    <r>
      <rPr>
        <sz val="12"/>
        <color rgb="FF002060"/>
        <rFont val="新細明體"/>
        <family val="2"/>
        <charset val="136"/>
      </rPr>
      <t>年少年犯罪嫌疑人數與犯罪人口率</t>
    </r>
  </si>
  <si>
    <r>
      <rPr>
        <sz val="12"/>
        <color rgb="FF002060"/>
        <rFont val="新細明體"/>
        <family val="2"/>
        <charset val="136"/>
      </rPr>
      <t>表</t>
    </r>
    <r>
      <rPr>
        <sz val="12"/>
        <color rgb="FF002060"/>
        <rFont val="Times New Roman"/>
        <family val="1"/>
      </rPr>
      <t>3-1-2</t>
    </r>
    <r>
      <rPr>
        <sz val="12"/>
        <color rgb="FF002060"/>
        <rFont val="新細明體"/>
        <family val="2"/>
        <charset val="136"/>
      </rPr>
      <t>　近</t>
    </r>
    <r>
      <rPr>
        <sz val="12"/>
        <color rgb="FF002060"/>
        <rFont val="Times New Roman"/>
        <family val="1"/>
      </rPr>
      <t>10</t>
    </r>
    <r>
      <rPr>
        <sz val="12"/>
        <color rgb="FF002060"/>
        <rFont val="新細明體"/>
        <family val="2"/>
        <charset val="136"/>
      </rPr>
      <t>年少年嫌疑人之主要犯罪類別</t>
    </r>
  </si>
  <si>
    <r>
      <rPr>
        <sz val="12"/>
        <color rgb="FF002060"/>
        <rFont val="新細明體"/>
        <family val="2"/>
        <charset val="136"/>
      </rPr>
      <t>表</t>
    </r>
    <r>
      <rPr>
        <sz val="12"/>
        <color rgb="FF002060"/>
        <rFont val="Times New Roman"/>
        <family val="1"/>
      </rPr>
      <t>3-2-1    111</t>
    </r>
    <r>
      <rPr>
        <sz val="12"/>
        <color rgb="FF002060"/>
        <rFont val="新細明體"/>
        <family val="2"/>
        <charset val="136"/>
      </rPr>
      <t>年少年事件調查收結情形</t>
    </r>
  </si>
  <si>
    <r>
      <rPr>
        <sz val="12"/>
        <color rgb="FF002060"/>
        <rFont val="新細明體"/>
        <family val="2"/>
        <charset val="136"/>
      </rPr>
      <t>表</t>
    </r>
    <r>
      <rPr>
        <sz val="12"/>
        <color rgb="FF002060"/>
        <rFont val="Times New Roman"/>
        <family val="1"/>
      </rPr>
      <t>3-2-2</t>
    </r>
    <r>
      <rPr>
        <sz val="12"/>
        <color rgb="FF002060"/>
        <rFont val="新細明體"/>
        <family val="2"/>
        <charset val="136"/>
      </rPr>
      <t>　近</t>
    </r>
    <r>
      <rPr>
        <sz val="12"/>
        <color rgb="FF002060"/>
        <rFont val="Times New Roman"/>
        <family val="1"/>
      </rPr>
      <t>10</t>
    </r>
    <r>
      <rPr>
        <sz val="12"/>
        <color rgb="FF002060"/>
        <rFont val="新細明體"/>
        <family val="2"/>
        <charset val="136"/>
      </rPr>
      <t>年少年保護事件審理終結情形</t>
    </r>
  </si>
  <si>
    <r>
      <rPr>
        <sz val="12"/>
        <color rgb="FF002060"/>
        <rFont val="新細明體"/>
        <family val="1"/>
        <charset val="136"/>
      </rPr>
      <t>表</t>
    </r>
    <r>
      <rPr>
        <sz val="12"/>
        <color rgb="FF002060"/>
        <rFont val="Times New Roman"/>
        <family val="1"/>
      </rPr>
      <t>3-2-3</t>
    </r>
    <r>
      <rPr>
        <sz val="12"/>
        <color rgb="FF002060"/>
        <rFont val="新細明體"/>
        <family val="1"/>
        <charset val="136"/>
      </rPr>
      <t>　</t>
    </r>
    <r>
      <rPr>
        <sz val="12"/>
        <color rgb="FF002060"/>
        <rFont val="Times New Roman"/>
        <family val="1"/>
      </rPr>
      <t>111</t>
    </r>
    <r>
      <rPr>
        <sz val="12"/>
        <color rgb="FF002060"/>
        <rFont val="新細明體"/>
        <family val="1"/>
        <charset val="136"/>
      </rPr>
      <t>年少年刑事案件裁判結果</t>
    </r>
  </si>
  <si>
    <r>
      <rPr>
        <sz val="12"/>
        <color rgb="FF002060"/>
        <rFont val="新細明體"/>
        <family val="1"/>
        <charset val="136"/>
      </rPr>
      <t>表</t>
    </r>
    <r>
      <rPr>
        <sz val="12"/>
        <color rgb="FF002060"/>
        <rFont val="Times New Roman"/>
        <family val="1"/>
      </rPr>
      <t>3-2-4</t>
    </r>
    <r>
      <rPr>
        <sz val="12"/>
        <color rgb="FF002060"/>
        <rFont val="新細明體"/>
        <family val="1"/>
        <charset val="136"/>
      </rPr>
      <t>　近</t>
    </r>
    <r>
      <rPr>
        <sz val="12"/>
        <color rgb="FF002060"/>
        <rFont val="Times New Roman"/>
        <family val="1"/>
      </rPr>
      <t>10</t>
    </r>
    <r>
      <rPr>
        <sz val="12"/>
        <color rgb="FF002060"/>
        <rFont val="新細明體"/>
        <family val="1"/>
        <charset val="136"/>
      </rPr>
      <t>年地方法院（庭）審理終結之少年觸法、虞犯</t>
    </r>
    <r>
      <rPr>
        <sz val="12"/>
        <color rgb="FF002060"/>
        <rFont val="Times New Roman"/>
        <family val="1"/>
      </rPr>
      <t>/</t>
    </r>
    <r>
      <rPr>
        <sz val="12"/>
        <color rgb="FF002060"/>
        <rFont val="新細明體"/>
        <family val="1"/>
        <charset val="136"/>
      </rPr>
      <t>曝險人數</t>
    </r>
  </si>
  <si>
    <r>
      <rPr>
        <sz val="12"/>
        <color rgb="FF002060"/>
        <rFont val="新細明體"/>
        <family val="1"/>
        <charset val="136"/>
      </rPr>
      <t>表</t>
    </r>
    <r>
      <rPr>
        <sz val="12"/>
        <color rgb="FF002060"/>
        <rFont val="Times New Roman"/>
        <family val="1"/>
      </rPr>
      <t>3-2-5</t>
    </r>
    <r>
      <rPr>
        <sz val="12"/>
        <color rgb="FF002060"/>
        <rFont val="新細明體"/>
        <family val="1"/>
        <charset val="136"/>
      </rPr>
      <t>　近</t>
    </r>
    <r>
      <rPr>
        <sz val="12"/>
        <color rgb="FF002060"/>
        <rFont val="Times New Roman"/>
        <family val="1"/>
      </rPr>
      <t>10</t>
    </r>
    <r>
      <rPr>
        <sz val="12"/>
        <color rgb="FF002060"/>
        <rFont val="新細明體"/>
        <family val="1"/>
        <charset val="136"/>
      </rPr>
      <t>年觸法少年交付保護處分之罪名</t>
    </r>
  </si>
  <si>
    <r>
      <rPr>
        <sz val="12"/>
        <color rgb="FF002060"/>
        <rFont val="新細明體"/>
        <family val="1"/>
        <charset val="136"/>
      </rPr>
      <t>表</t>
    </r>
    <r>
      <rPr>
        <sz val="12"/>
        <color rgb="FF002060"/>
        <rFont val="Times New Roman"/>
        <family val="1"/>
      </rPr>
      <t>3-2-6</t>
    </r>
    <r>
      <rPr>
        <sz val="12"/>
        <color rgb="FF002060"/>
        <rFont val="新細明體"/>
        <family val="1"/>
        <charset val="136"/>
      </rPr>
      <t>　近</t>
    </r>
    <r>
      <rPr>
        <sz val="12"/>
        <color rgb="FF002060"/>
        <rFont val="Times New Roman"/>
        <family val="1"/>
      </rPr>
      <t>10</t>
    </r>
    <r>
      <rPr>
        <sz val="12"/>
        <color rgb="FF002060"/>
        <rFont val="新細明體"/>
        <family val="1"/>
        <charset val="136"/>
      </rPr>
      <t>年觸法少年交付保護處分之性別與年齡</t>
    </r>
  </si>
  <si>
    <r>
      <rPr>
        <sz val="12"/>
        <color rgb="FF002060"/>
        <rFont val="新細明體"/>
        <family val="1"/>
        <charset val="136"/>
      </rPr>
      <t>表</t>
    </r>
    <r>
      <rPr>
        <sz val="12"/>
        <color rgb="FF002060"/>
        <rFont val="Times New Roman"/>
        <family val="1"/>
      </rPr>
      <t>3-2-7</t>
    </r>
    <r>
      <rPr>
        <sz val="12"/>
        <color rgb="FF002060"/>
        <rFont val="新細明體"/>
        <family val="1"/>
        <charset val="136"/>
      </rPr>
      <t>　</t>
    </r>
    <r>
      <rPr>
        <sz val="12"/>
        <color rgb="FF002060"/>
        <rFont val="Times New Roman"/>
        <family val="1"/>
      </rPr>
      <t>111</t>
    </r>
    <r>
      <rPr>
        <sz val="12"/>
        <color rgb="FF002060"/>
        <rFont val="新細明體"/>
        <family val="1"/>
        <charset val="136"/>
      </rPr>
      <t>年觸法少年交付保護處分之年齡與主要罪名</t>
    </r>
  </si>
  <si>
    <r>
      <rPr>
        <sz val="12"/>
        <color rgb="FF002060"/>
        <rFont val="新細明體"/>
        <family val="1"/>
        <charset val="136"/>
      </rPr>
      <t>表</t>
    </r>
    <r>
      <rPr>
        <sz val="12"/>
        <color rgb="FF002060"/>
        <rFont val="Times New Roman"/>
        <family val="1"/>
      </rPr>
      <t>3-2-8</t>
    </r>
    <r>
      <rPr>
        <sz val="12"/>
        <color rgb="FF002060"/>
        <rFont val="新細明體"/>
        <family val="1"/>
        <charset val="136"/>
      </rPr>
      <t>　近</t>
    </r>
    <r>
      <rPr>
        <sz val="12"/>
        <color rgb="FF002060"/>
        <rFont val="Times New Roman"/>
        <family val="1"/>
      </rPr>
      <t>10</t>
    </r>
    <r>
      <rPr>
        <sz val="12"/>
        <color rgb="FF002060"/>
        <rFont val="新細明體"/>
        <family val="1"/>
        <charset val="136"/>
      </rPr>
      <t>年觸法少年交付保護處分之教育程度</t>
    </r>
  </si>
  <si>
    <r>
      <rPr>
        <sz val="12"/>
        <color rgb="FF002060"/>
        <rFont val="新細明體"/>
        <family val="1"/>
        <charset val="136"/>
      </rPr>
      <t>表</t>
    </r>
    <r>
      <rPr>
        <sz val="12"/>
        <color rgb="FF002060"/>
        <rFont val="Times New Roman"/>
        <family val="1"/>
      </rPr>
      <t>3-2-9</t>
    </r>
    <r>
      <rPr>
        <sz val="12"/>
        <color rgb="FF002060"/>
        <rFont val="新細明體"/>
        <family val="1"/>
        <charset val="136"/>
      </rPr>
      <t>　近</t>
    </r>
    <r>
      <rPr>
        <sz val="12"/>
        <color rgb="FF002060"/>
        <rFont val="Times New Roman"/>
        <family val="1"/>
      </rPr>
      <t>10</t>
    </r>
    <r>
      <rPr>
        <sz val="12"/>
        <color rgb="FF002060"/>
        <rFont val="新細明體"/>
        <family val="1"/>
        <charset val="136"/>
      </rPr>
      <t>年觸法少年交付保護處分之性別與就業情形</t>
    </r>
  </si>
  <si>
    <r>
      <rPr>
        <sz val="12"/>
        <color rgb="FF002060"/>
        <rFont val="新細明體"/>
        <family val="1"/>
        <charset val="136"/>
      </rPr>
      <t>表</t>
    </r>
    <r>
      <rPr>
        <sz val="12"/>
        <color rgb="FF002060"/>
        <rFont val="Times New Roman"/>
        <family val="1"/>
      </rPr>
      <t>3-2-10</t>
    </r>
    <r>
      <rPr>
        <sz val="12"/>
        <color rgb="FF002060"/>
        <rFont val="新細明體"/>
        <family val="1"/>
        <charset val="136"/>
      </rPr>
      <t>　近</t>
    </r>
    <r>
      <rPr>
        <sz val="12"/>
        <color rgb="FF002060"/>
        <rFont val="Times New Roman"/>
        <family val="1"/>
      </rPr>
      <t>10</t>
    </r>
    <r>
      <rPr>
        <sz val="12"/>
        <color rgb="FF002060"/>
        <rFont val="新細明體"/>
        <family val="1"/>
        <charset val="136"/>
      </rPr>
      <t>年觸法少年交付保護處分之家庭經濟狀況</t>
    </r>
  </si>
  <si>
    <r>
      <rPr>
        <sz val="12"/>
        <color rgb="FF002060"/>
        <rFont val="新細明體"/>
        <family val="1"/>
        <charset val="136"/>
      </rPr>
      <t>表</t>
    </r>
    <r>
      <rPr>
        <sz val="12"/>
        <color rgb="FF002060"/>
        <rFont val="Times New Roman"/>
        <family val="1"/>
      </rPr>
      <t>3-2-11</t>
    </r>
    <r>
      <rPr>
        <sz val="12"/>
        <color rgb="FF002060"/>
        <rFont val="新細明體"/>
        <family val="1"/>
        <charset val="136"/>
      </rPr>
      <t>　近</t>
    </r>
    <r>
      <rPr>
        <sz val="12"/>
        <color rgb="FF002060"/>
        <rFont val="Times New Roman"/>
        <family val="1"/>
      </rPr>
      <t>10</t>
    </r>
    <r>
      <rPr>
        <sz val="12"/>
        <color rgb="FF002060"/>
        <rFont val="新細明體"/>
        <family val="1"/>
        <charset val="136"/>
      </rPr>
      <t>年觸法少年交付保護處分之父母現況</t>
    </r>
  </si>
  <si>
    <r>
      <rPr>
        <sz val="12"/>
        <color rgb="FF002060"/>
        <rFont val="新細明體"/>
        <family val="1"/>
        <charset val="136"/>
      </rPr>
      <t>表</t>
    </r>
    <r>
      <rPr>
        <sz val="12"/>
        <color rgb="FF002060"/>
        <rFont val="Times New Roman"/>
        <family val="1"/>
      </rPr>
      <t>3-2-12</t>
    </r>
    <r>
      <rPr>
        <sz val="12"/>
        <color rgb="FF002060"/>
        <rFont val="新細明體"/>
        <family val="1"/>
        <charset val="136"/>
      </rPr>
      <t>　近</t>
    </r>
    <r>
      <rPr>
        <sz val="12"/>
        <color rgb="FF002060"/>
        <rFont val="Times New Roman"/>
        <family val="1"/>
      </rPr>
      <t>10</t>
    </r>
    <r>
      <rPr>
        <sz val="12"/>
        <color rgb="FF002060"/>
        <rFont val="新細明體"/>
        <family val="1"/>
        <charset val="136"/>
      </rPr>
      <t>年觸法少年交付保護處分之父母婚姻狀況</t>
    </r>
  </si>
  <si>
    <r>
      <rPr>
        <sz val="12"/>
        <color rgb="FF002060"/>
        <rFont val="新細明體"/>
        <family val="1"/>
        <charset val="136"/>
      </rPr>
      <t>表</t>
    </r>
    <r>
      <rPr>
        <sz val="12"/>
        <color rgb="FF002060"/>
        <rFont val="Times New Roman"/>
        <family val="1"/>
      </rPr>
      <t>3-2-13</t>
    </r>
    <r>
      <rPr>
        <sz val="12"/>
        <color rgb="FF002060"/>
        <rFont val="新細明體"/>
        <family val="1"/>
        <charset val="136"/>
      </rPr>
      <t>　近</t>
    </r>
    <r>
      <rPr>
        <sz val="12"/>
        <color rgb="FF002060"/>
        <rFont val="Times New Roman"/>
        <family val="1"/>
      </rPr>
      <t>10</t>
    </r>
    <r>
      <rPr>
        <sz val="12"/>
        <color rgb="FF002060"/>
        <rFont val="新細明體"/>
        <family val="1"/>
        <charset val="136"/>
      </rPr>
      <t>年少年刑事案件性別與罪名</t>
    </r>
  </si>
  <si>
    <r>
      <rPr>
        <sz val="12"/>
        <color rgb="FF002060"/>
        <rFont val="新細明體"/>
        <family val="1"/>
        <charset val="136"/>
      </rPr>
      <t>表</t>
    </r>
    <r>
      <rPr>
        <sz val="12"/>
        <color rgb="FF002060"/>
        <rFont val="Times New Roman"/>
        <family val="1"/>
      </rPr>
      <t>3-2-14</t>
    </r>
    <r>
      <rPr>
        <sz val="12"/>
        <color rgb="FF002060"/>
        <rFont val="新細明體"/>
        <family val="1"/>
        <charset val="136"/>
      </rPr>
      <t>　近</t>
    </r>
    <r>
      <rPr>
        <sz val="12"/>
        <color rgb="FF002060"/>
        <rFont val="Times New Roman"/>
        <family val="1"/>
      </rPr>
      <t>10</t>
    </r>
    <r>
      <rPr>
        <sz val="12"/>
        <color rgb="FF002060"/>
        <rFont val="新細明體"/>
        <family val="1"/>
        <charset val="136"/>
      </rPr>
      <t>年少年刑事案件年齡</t>
    </r>
  </si>
  <si>
    <r>
      <rPr>
        <sz val="12"/>
        <color rgb="FF002060"/>
        <rFont val="新細明體"/>
        <family val="1"/>
        <charset val="136"/>
      </rPr>
      <t>表</t>
    </r>
    <r>
      <rPr>
        <sz val="12"/>
        <color rgb="FF002060"/>
        <rFont val="Times New Roman"/>
        <family val="1"/>
      </rPr>
      <t>3-2-15</t>
    </r>
    <r>
      <rPr>
        <sz val="12"/>
        <color rgb="FF002060"/>
        <rFont val="新細明體"/>
        <family val="1"/>
        <charset val="136"/>
      </rPr>
      <t>　</t>
    </r>
    <r>
      <rPr>
        <sz val="12"/>
        <color rgb="FF002060"/>
        <rFont val="Times New Roman"/>
        <family val="1"/>
      </rPr>
      <t>111</t>
    </r>
    <r>
      <rPr>
        <sz val="12"/>
        <color rgb="FF002060"/>
        <rFont val="新細明體"/>
        <family val="1"/>
        <charset val="136"/>
      </rPr>
      <t>年少年刑事案件之年齡、性別與罪名</t>
    </r>
  </si>
  <si>
    <r>
      <rPr>
        <sz val="12"/>
        <color rgb="FF002060"/>
        <rFont val="新細明體"/>
        <family val="1"/>
        <charset val="136"/>
      </rPr>
      <t>表</t>
    </r>
    <r>
      <rPr>
        <sz val="12"/>
        <color rgb="FF002060"/>
        <rFont val="Times New Roman"/>
        <family val="1"/>
      </rPr>
      <t>3-2-16</t>
    </r>
    <r>
      <rPr>
        <sz val="12"/>
        <color rgb="FF002060"/>
        <rFont val="新細明體"/>
        <family val="1"/>
        <charset val="136"/>
      </rPr>
      <t>　近</t>
    </r>
    <r>
      <rPr>
        <sz val="12"/>
        <color rgb="FF002060"/>
        <rFont val="Times New Roman"/>
        <family val="1"/>
      </rPr>
      <t>10</t>
    </r>
    <r>
      <rPr>
        <sz val="12"/>
        <color rgb="FF002060"/>
        <rFont val="新細明體"/>
        <family val="1"/>
        <charset val="136"/>
      </rPr>
      <t>年少年刑事案件教育程度</t>
    </r>
  </si>
  <si>
    <r>
      <rPr>
        <sz val="12"/>
        <color rgb="FF002060"/>
        <rFont val="新細明體"/>
        <family val="1"/>
        <charset val="136"/>
      </rPr>
      <t>表</t>
    </r>
    <r>
      <rPr>
        <sz val="12"/>
        <color rgb="FF002060"/>
        <rFont val="Times New Roman"/>
        <family val="1"/>
      </rPr>
      <t>3-2-17</t>
    </r>
    <r>
      <rPr>
        <sz val="12"/>
        <color rgb="FF002060"/>
        <rFont val="新細明體"/>
        <family val="1"/>
        <charset val="136"/>
      </rPr>
      <t>　近</t>
    </r>
    <r>
      <rPr>
        <sz val="12"/>
        <color rgb="FF002060"/>
        <rFont val="Times New Roman"/>
        <family val="1"/>
      </rPr>
      <t>10</t>
    </r>
    <r>
      <rPr>
        <sz val="12"/>
        <color rgb="FF002060"/>
        <rFont val="新細明體"/>
        <family val="1"/>
        <charset val="136"/>
      </rPr>
      <t>年少年刑事案件之性別與就業情形</t>
    </r>
  </si>
  <si>
    <r>
      <rPr>
        <sz val="12"/>
        <color rgb="FF002060"/>
        <rFont val="新細明體"/>
        <family val="1"/>
        <charset val="136"/>
      </rPr>
      <t>表</t>
    </r>
    <r>
      <rPr>
        <sz val="12"/>
        <color rgb="FF002060"/>
        <rFont val="Times New Roman"/>
        <family val="1"/>
      </rPr>
      <t>3-2-18</t>
    </r>
    <r>
      <rPr>
        <sz val="12"/>
        <color rgb="FF002060"/>
        <rFont val="新細明體"/>
        <family val="1"/>
        <charset val="136"/>
      </rPr>
      <t>　近</t>
    </r>
    <r>
      <rPr>
        <sz val="12"/>
        <color rgb="FF002060"/>
        <rFont val="Times New Roman"/>
        <family val="1"/>
      </rPr>
      <t>10</t>
    </r>
    <r>
      <rPr>
        <sz val="12"/>
        <color rgb="FF002060"/>
        <rFont val="新細明體"/>
        <family val="1"/>
        <charset val="136"/>
      </rPr>
      <t>年少年刑事案件家庭經濟狀況</t>
    </r>
  </si>
  <si>
    <r>
      <rPr>
        <sz val="12"/>
        <color rgb="FF002060"/>
        <rFont val="新細明體"/>
        <family val="1"/>
        <charset val="136"/>
      </rPr>
      <t>表</t>
    </r>
    <r>
      <rPr>
        <sz val="12"/>
        <color rgb="FF002060"/>
        <rFont val="Times New Roman"/>
        <family val="1"/>
      </rPr>
      <t>3-2-19</t>
    </r>
    <r>
      <rPr>
        <sz val="12"/>
        <color rgb="FF002060"/>
        <rFont val="新細明體"/>
        <family val="1"/>
        <charset val="136"/>
      </rPr>
      <t>　近</t>
    </r>
    <r>
      <rPr>
        <sz val="12"/>
        <color rgb="FF002060"/>
        <rFont val="Times New Roman"/>
        <family val="1"/>
      </rPr>
      <t>10</t>
    </r>
    <r>
      <rPr>
        <sz val="12"/>
        <color rgb="FF002060"/>
        <rFont val="新細明體"/>
        <family val="1"/>
        <charset val="136"/>
      </rPr>
      <t>年少年刑事案件父母現況</t>
    </r>
  </si>
  <si>
    <r>
      <rPr>
        <sz val="12"/>
        <color rgb="FF002060"/>
        <rFont val="新細明體"/>
        <family val="1"/>
        <charset val="136"/>
      </rPr>
      <t>表</t>
    </r>
    <r>
      <rPr>
        <sz val="12"/>
        <color rgb="FF002060"/>
        <rFont val="Times New Roman"/>
        <family val="1"/>
      </rPr>
      <t>3-2-20</t>
    </r>
    <r>
      <rPr>
        <sz val="12"/>
        <color rgb="FF002060"/>
        <rFont val="新細明體"/>
        <family val="1"/>
        <charset val="136"/>
      </rPr>
      <t>　近</t>
    </r>
    <r>
      <rPr>
        <sz val="12"/>
        <color rgb="FF002060"/>
        <rFont val="Times New Roman"/>
        <family val="1"/>
      </rPr>
      <t>10</t>
    </r>
    <r>
      <rPr>
        <sz val="12"/>
        <color rgb="FF002060"/>
        <rFont val="新細明體"/>
        <family val="1"/>
        <charset val="136"/>
      </rPr>
      <t>年少年刑事案件父母婚姻狀況</t>
    </r>
  </si>
  <si>
    <r>
      <rPr>
        <sz val="12"/>
        <color rgb="FF002060"/>
        <rFont val="新細明體"/>
        <family val="1"/>
        <charset val="136"/>
      </rPr>
      <t>表</t>
    </r>
    <r>
      <rPr>
        <sz val="12"/>
        <color rgb="FF002060"/>
        <rFont val="Times New Roman"/>
        <family val="1"/>
      </rPr>
      <t>3-2-21</t>
    </r>
    <r>
      <rPr>
        <sz val="12"/>
        <color rgb="FF002060"/>
        <rFont val="新細明體"/>
        <family val="1"/>
        <charset val="136"/>
      </rPr>
      <t>　近</t>
    </r>
    <r>
      <rPr>
        <sz val="12"/>
        <color rgb="FF002060"/>
        <rFont val="Times New Roman"/>
        <family val="1"/>
      </rPr>
      <t>10</t>
    </r>
    <r>
      <rPr>
        <sz val="12"/>
        <color rgb="FF002060"/>
        <rFont val="新細明體"/>
        <family val="1"/>
        <charset val="136"/>
      </rPr>
      <t>年曝險少年交付保護處分之性別與行為</t>
    </r>
  </si>
  <si>
    <r>
      <rPr>
        <sz val="12"/>
        <color rgb="FF002060"/>
        <rFont val="新細明體"/>
        <family val="1"/>
        <charset val="136"/>
      </rPr>
      <t>表</t>
    </r>
    <r>
      <rPr>
        <sz val="12"/>
        <color rgb="FF002060"/>
        <rFont val="Times New Roman"/>
        <family val="1"/>
      </rPr>
      <t>3-2-22</t>
    </r>
    <r>
      <rPr>
        <sz val="12"/>
        <color rgb="FF002060"/>
        <rFont val="新細明體"/>
        <family val="1"/>
        <charset val="136"/>
      </rPr>
      <t>　近</t>
    </r>
    <r>
      <rPr>
        <sz val="12"/>
        <color rgb="FF002060"/>
        <rFont val="Times New Roman"/>
        <family val="1"/>
      </rPr>
      <t>10</t>
    </r>
    <r>
      <rPr>
        <sz val="12"/>
        <color rgb="FF002060"/>
        <rFont val="新細明體"/>
        <family val="1"/>
        <charset val="136"/>
      </rPr>
      <t>年曝險少年交付保護處分之性別與年齡</t>
    </r>
  </si>
  <si>
    <r>
      <rPr>
        <sz val="12"/>
        <color rgb="FF002060"/>
        <rFont val="新細明體"/>
        <family val="1"/>
        <charset val="136"/>
      </rPr>
      <t>表</t>
    </r>
    <r>
      <rPr>
        <sz val="12"/>
        <color rgb="FF002060"/>
        <rFont val="Times New Roman"/>
        <family val="1"/>
      </rPr>
      <t>3-2-23</t>
    </r>
    <r>
      <rPr>
        <sz val="12"/>
        <color rgb="FF002060"/>
        <rFont val="新細明體"/>
        <family val="1"/>
        <charset val="136"/>
      </rPr>
      <t>　近</t>
    </r>
    <r>
      <rPr>
        <sz val="12"/>
        <color rgb="FF002060"/>
        <rFont val="Times New Roman"/>
        <family val="1"/>
      </rPr>
      <t>10</t>
    </r>
    <r>
      <rPr>
        <sz val="12"/>
        <color rgb="FF002060"/>
        <rFont val="新細明體"/>
        <family val="1"/>
        <charset val="136"/>
      </rPr>
      <t>年曝險少年交付保護處分之教育程度</t>
    </r>
  </si>
  <si>
    <r>
      <rPr>
        <sz val="12"/>
        <color rgb="FF002060"/>
        <rFont val="新細明體"/>
        <family val="1"/>
        <charset val="136"/>
      </rPr>
      <t>表</t>
    </r>
    <r>
      <rPr>
        <sz val="12"/>
        <color rgb="FF002060"/>
        <rFont val="Times New Roman"/>
        <family val="1"/>
      </rPr>
      <t>3-2-24</t>
    </r>
    <r>
      <rPr>
        <sz val="12"/>
        <color rgb="FF002060"/>
        <rFont val="新細明體"/>
        <family val="1"/>
        <charset val="136"/>
      </rPr>
      <t>　近</t>
    </r>
    <r>
      <rPr>
        <sz val="12"/>
        <color rgb="FF002060"/>
        <rFont val="Times New Roman"/>
        <family val="1"/>
      </rPr>
      <t>10</t>
    </r>
    <r>
      <rPr>
        <sz val="12"/>
        <color rgb="FF002060"/>
        <rFont val="新細明體"/>
        <family val="1"/>
        <charset val="136"/>
      </rPr>
      <t>年曝險少年交付保護處分之性別與就業情形</t>
    </r>
  </si>
  <si>
    <r>
      <rPr>
        <sz val="12"/>
        <color rgb="FF002060"/>
        <rFont val="新細明體"/>
        <family val="1"/>
        <charset val="136"/>
      </rPr>
      <t>表</t>
    </r>
    <r>
      <rPr>
        <sz val="12"/>
        <color rgb="FF002060"/>
        <rFont val="Times New Roman"/>
        <family val="1"/>
      </rPr>
      <t>3-2-25</t>
    </r>
    <r>
      <rPr>
        <sz val="12"/>
        <color rgb="FF002060"/>
        <rFont val="新細明體"/>
        <family val="1"/>
        <charset val="136"/>
      </rPr>
      <t>　近</t>
    </r>
    <r>
      <rPr>
        <sz val="12"/>
        <color rgb="FF002060"/>
        <rFont val="Times New Roman"/>
        <family val="1"/>
      </rPr>
      <t>10</t>
    </r>
    <r>
      <rPr>
        <sz val="12"/>
        <color rgb="FF002060"/>
        <rFont val="新細明體"/>
        <family val="1"/>
        <charset val="136"/>
      </rPr>
      <t>年曝險少年交付保護處分之家庭經濟狀況</t>
    </r>
  </si>
  <si>
    <r>
      <rPr>
        <sz val="12"/>
        <color rgb="FF002060"/>
        <rFont val="新細明體"/>
        <family val="1"/>
        <charset val="136"/>
      </rPr>
      <t>表</t>
    </r>
    <r>
      <rPr>
        <sz val="12"/>
        <color rgb="FF002060"/>
        <rFont val="Times New Roman"/>
        <family val="1"/>
      </rPr>
      <t>3-2-26</t>
    </r>
    <r>
      <rPr>
        <sz val="12"/>
        <color rgb="FF002060"/>
        <rFont val="新細明體"/>
        <family val="1"/>
        <charset val="136"/>
      </rPr>
      <t>　近</t>
    </r>
    <r>
      <rPr>
        <sz val="12"/>
        <color rgb="FF002060"/>
        <rFont val="Times New Roman"/>
        <family val="1"/>
      </rPr>
      <t>10</t>
    </r>
    <r>
      <rPr>
        <sz val="12"/>
        <color rgb="FF002060"/>
        <rFont val="新細明體"/>
        <family val="1"/>
        <charset val="136"/>
      </rPr>
      <t>年曝險少年交付保護處分之父母現況</t>
    </r>
  </si>
  <si>
    <r>
      <rPr>
        <sz val="12"/>
        <color rgb="FF002060"/>
        <rFont val="新細明體"/>
        <family val="1"/>
        <charset val="136"/>
      </rPr>
      <t>表</t>
    </r>
    <r>
      <rPr>
        <sz val="12"/>
        <color rgb="FF002060"/>
        <rFont val="Times New Roman"/>
        <family val="1"/>
      </rPr>
      <t>3-2-27</t>
    </r>
    <r>
      <rPr>
        <sz val="12"/>
        <color rgb="FF002060"/>
        <rFont val="新細明體"/>
        <family val="1"/>
        <charset val="136"/>
      </rPr>
      <t>　近</t>
    </r>
    <r>
      <rPr>
        <sz val="12"/>
        <color rgb="FF002060"/>
        <rFont val="Times New Roman"/>
        <family val="1"/>
      </rPr>
      <t>10</t>
    </r>
    <r>
      <rPr>
        <sz val="12"/>
        <color rgb="FF002060"/>
        <rFont val="新細明體"/>
        <family val="1"/>
        <charset val="136"/>
      </rPr>
      <t>年曝險少年交付保護處分之父母婚姻狀況</t>
    </r>
  </si>
  <si>
    <r>
      <rPr>
        <sz val="12"/>
        <color rgb="FF002060"/>
        <rFont val="新細明體"/>
        <family val="1"/>
        <charset val="136"/>
      </rPr>
      <t>表</t>
    </r>
    <r>
      <rPr>
        <sz val="12"/>
        <color rgb="FF002060"/>
        <rFont val="Times New Roman"/>
        <family val="1"/>
      </rPr>
      <t>3-3-1</t>
    </r>
    <r>
      <rPr>
        <sz val="12"/>
        <color rgb="FF002060"/>
        <rFont val="新細明體"/>
        <family val="1"/>
        <charset val="136"/>
      </rPr>
      <t>　近</t>
    </r>
    <r>
      <rPr>
        <sz val="12"/>
        <color rgb="FF002060"/>
        <rFont val="Times New Roman"/>
        <family val="1"/>
      </rPr>
      <t>5</t>
    </r>
    <r>
      <rPr>
        <sz val="12"/>
        <color rgb="FF002060"/>
        <rFont val="新細明體"/>
        <family val="1"/>
        <charset val="136"/>
      </rPr>
      <t>年少年觀護所新入所收容</t>
    </r>
    <r>
      <rPr>
        <sz val="12"/>
        <color rgb="FF002060"/>
        <rFont val="Times New Roman"/>
        <family val="1"/>
      </rPr>
      <t>/</t>
    </r>
    <r>
      <rPr>
        <sz val="12"/>
        <color rgb="FF002060"/>
        <rFont val="新細明體"/>
        <family val="1"/>
        <charset val="136"/>
      </rPr>
      <t>羈押人數與性別</t>
    </r>
  </si>
  <si>
    <r>
      <rPr>
        <sz val="12"/>
        <color rgb="FF002060"/>
        <rFont val="新細明體"/>
        <family val="1"/>
        <charset val="136"/>
      </rPr>
      <t>表</t>
    </r>
    <r>
      <rPr>
        <sz val="12"/>
        <color rgb="FF002060"/>
        <rFont val="Times New Roman"/>
        <family val="1"/>
      </rPr>
      <t>3-3-2</t>
    </r>
    <r>
      <rPr>
        <sz val="12"/>
        <color rgb="FF002060"/>
        <rFont val="新細明體"/>
        <family val="1"/>
        <charset val="136"/>
      </rPr>
      <t>　近</t>
    </r>
    <r>
      <rPr>
        <sz val="12"/>
        <color rgb="FF002060"/>
        <rFont val="Times New Roman"/>
        <family val="1"/>
      </rPr>
      <t>5</t>
    </r>
    <r>
      <rPr>
        <sz val="12"/>
        <color rgb="FF002060"/>
        <rFont val="新細明體"/>
        <family val="1"/>
        <charset val="136"/>
      </rPr>
      <t>年少年觀護所新入所收容</t>
    </r>
    <r>
      <rPr>
        <sz val="12"/>
        <color rgb="FF002060"/>
        <rFont val="Times New Roman"/>
        <family val="1"/>
      </rPr>
      <t>/</t>
    </r>
    <r>
      <rPr>
        <sz val="12"/>
        <color rgb="FF002060"/>
        <rFont val="新細明體"/>
        <family val="1"/>
        <charset val="136"/>
      </rPr>
      <t>羈押少年之性別與年齡</t>
    </r>
  </si>
  <si>
    <r>
      <rPr>
        <sz val="12"/>
        <color rgb="FF002060"/>
        <rFont val="新細明體"/>
        <family val="1"/>
        <charset val="136"/>
      </rPr>
      <t>表</t>
    </r>
    <r>
      <rPr>
        <sz val="12"/>
        <color rgb="FF002060"/>
        <rFont val="Times New Roman"/>
        <family val="1"/>
      </rPr>
      <t>3-3-3</t>
    </r>
    <r>
      <rPr>
        <sz val="12"/>
        <color rgb="FF002060"/>
        <rFont val="新細明體"/>
        <family val="1"/>
        <charset val="136"/>
      </rPr>
      <t>　近</t>
    </r>
    <r>
      <rPr>
        <sz val="12"/>
        <color rgb="FF002060"/>
        <rFont val="Times New Roman"/>
        <family val="1"/>
      </rPr>
      <t>5</t>
    </r>
    <r>
      <rPr>
        <sz val="12"/>
        <color rgb="FF002060"/>
        <rFont val="新細明體"/>
        <family val="1"/>
        <charset val="136"/>
      </rPr>
      <t>年少年觀護所新入所收容</t>
    </r>
    <r>
      <rPr>
        <sz val="12"/>
        <color rgb="FF002060"/>
        <rFont val="Times New Roman"/>
        <family val="1"/>
      </rPr>
      <t>/</t>
    </r>
    <r>
      <rPr>
        <sz val="12"/>
        <color rgb="FF002060"/>
        <rFont val="新細明體"/>
        <family val="1"/>
        <charset val="136"/>
      </rPr>
      <t>羈押少年之性別與教育程度</t>
    </r>
  </si>
  <si>
    <r>
      <rPr>
        <sz val="12"/>
        <color rgb="FF002060"/>
        <rFont val="新細明體"/>
        <family val="1"/>
        <charset val="136"/>
      </rPr>
      <t>表</t>
    </r>
    <r>
      <rPr>
        <sz val="12"/>
        <color rgb="FF002060"/>
        <rFont val="Times New Roman"/>
        <family val="1"/>
      </rPr>
      <t>3-3-4</t>
    </r>
    <r>
      <rPr>
        <sz val="12"/>
        <color rgb="FF002060"/>
        <rFont val="新細明體"/>
        <family val="1"/>
        <charset val="136"/>
      </rPr>
      <t>　近</t>
    </r>
    <r>
      <rPr>
        <sz val="12"/>
        <color rgb="FF002060"/>
        <rFont val="Times New Roman"/>
        <family val="1"/>
      </rPr>
      <t>5</t>
    </r>
    <r>
      <rPr>
        <sz val="12"/>
        <color rgb="FF002060"/>
        <rFont val="新細明體"/>
        <family val="1"/>
        <charset val="136"/>
      </rPr>
      <t>年少年觀護所新入所收容</t>
    </r>
    <r>
      <rPr>
        <sz val="12"/>
        <color rgb="FF002060"/>
        <rFont val="Times New Roman"/>
        <family val="1"/>
      </rPr>
      <t>/</t>
    </r>
    <r>
      <rPr>
        <sz val="12"/>
        <color rgb="FF002060"/>
        <rFont val="新細明體"/>
        <family val="1"/>
        <charset val="136"/>
      </rPr>
      <t>羈押少年之性別與家庭經濟狀況</t>
    </r>
  </si>
  <si>
    <r>
      <rPr>
        <sz val="12"/>
        <color rgb="FF002060"/>
        <rFont val="新細明體"/>
        <family val="1"/>
        <charset val="136"/>
      </rPr>
      <t>表</t>
    </r>
    <r>
      <rPr>
        <sz val="12"/>
        <color rgb="FF002060"/>
        <rFont val="Times New Roman"/>
        <family val="1"/>
      </rPr>
      <t>3-3-5</t>
    </r>
    <r>
      <rPr>
        <sz val="12"/>
        <color rgb="FF002060"/>
        <rFont val="新細明體"/>
        <family val="1"/>
        <charset val="136"/>
      </rPr>
      <t>　近</t>
    </r>
    <r>
      <rPr>
        <sz val="12"/>
        <color rgb="FF002060"/>
        <rFont val="Times New Roman"/>
        <family val="1"/>
      </rPr>
      <t>5</t>
    </r>
    <r>
      <rPr>
        <sz val="12"/>
        <color rgb="FF002060"/>
        <rFont val="新細明體"/>
        <family val="1"/>
        <charset val="136"/>
      </rPr>
      <t>年少年觀護所新入所收容</t>
    </r>
    <r>
      <rPr>
        <sz val="12"/>
        <color rgb="FF002060"/>
        <rFont val="Times New Roman"/>
        <family val="1"/>
      </rPr>
      <t>/</t>
    </r>
    <r>
      <rPr>
        <sz val="12"/>
        <color rgb="FF002060"/>
        <rFont val="新細明體"/>
        <family val="1"/>
        <charset val="136"/>
      </rPr>
      <t>羈押少年之性別與罪名</t>
    </r>
  </si>
  <si>
    <r>
      <rPr>
        <sz val="12"/>
        <color rgb="FF002060"/>
        <rFont val="新細明體"/>
        <family val="1"/>
        <charset val="136"/>
      </rPr>
      <t>表</t>
    </r>
    <r>
      <rPr>
        <sz val="12"/>
        <color rgb="FF002060"/>
        <rFont val="Times New Roman"/>
        <family val="1"/>
      </rPr>
      <t>3-3-6</t>
    </r>
    <r>
      <rPr>
        <sz val="12"/>
        <color rgb="FF002060"/>
        <rFont val="新細明體"/>
        <family val="1"/>
        <charset val="136"/>
      </rPr>
      <t>　近</t>
    </r>
    <r>
      <rPr>
        <sz val="12"/>
        <color rgb="FF002060"/>
        <rFont val="Times New Roman"/>
        <family val="1"/>
      </rPr>
      <t>5</t>
    </r>
    <r>
      <rPr>
        <sz val="12"/>
        <color rgb="FF002060"/>
        <rFont val="新細明體"/>
        <family val="1"/>
        <charset val="136"/>
      </rPr>
      <t>年少年矯正學校新入校受感化教育學生之性別</t>
    </r>
  </si>
  <si>
    <r>
      <rPr>
        <sz val="12"/>
        <color rgb="FF002060"/>
        <rFont val="新細明體"/>
        <family val="1"/>
        <charset val="136"/>
      </rPr>
      <t>表</t>
    </r>
    <r>
      <rPr>
        <sz val="12"/>
        <color rgb="FF002060"/>
        <rFont val="Times New Roman"/>
        <family val="1"/>
      </rPr>
      <t>3-3-7</t>
    </r>
    <r>
      <rPr>
        <sz val="12"/>
        <color rgb="FF002060"/>
        <rFont val="新細明體"/>
        <family val="1"/>
        <charset val="136"/>
      </rPr>
      <t>　近</t>
    </r>
    <r>
      <rPr>
        <sz val="12"/>
        <color rgb="FF002060"/>
        <rFont val="Times New Roman"/>
        <family val="1"/>
      </rPr>
      <t>5</t>
    </r>
    <r>
      <rPr>
        <sz val="12"/>
        <color rgb="FF002060"/>
        <rFont val="新細明體"/>
        <family val="1"/>
        <charset val="136"/>
      </rPr>
      <t>年少年矯正學校實際出校的感化教育學生之性別</t>
    </r>
  </si>
  <si>
    <r>
      <rPr>
        <sz val="12"/>
        <color rgb="FF002060"/>
        <rFont val="新細明體"/>
        <family val="1"/>
        <charset val="136"/>
      </rPr>
      <t>表</t>
    </r>
    <r>
      <rPr>
        <sz val="12"/>
        <color rgb="FF002060"/>
        <rFont val="Times New Roman"/>
        <family val="1"/>
      </rPr>
      <t>3-3-8</t>
    </r>
    <r>
      <rPr>
        <sz val="12"/>
        <color rgb="FF002060"/>
        <rFont val="新細明體"/>
        <family val="1"/>
        <charset val="136"/>
      </rPr>
      <t>　近</t>
    </r>
    <r>
      <rPr>
        <sz val="12"/>
        <color rgb="FF002060"/>
        <rFont val="Times New Roman"/>
        <family val="1"/>
      </rPr>
      <t>5</t>
    </r>
    <r>
      <rPr>
        <sz val="12"/>
        <color rgb="FF002060"/>
        <rFont val="新細明體"/>
        <family val="1"/>
        <charset val="136"/>
      </rPr>
      <t>年少年矯正學校新入校受感化教育學生之性別與年齡</t>
    </r>
  </si>
  <si>
    <r>
      <rPr>
        <sz val="12"/>
        <color rgb="FF002060"/>
        <rFont val="新細明體"/>
        <family val="1"/>
        <charset val="136"/>
      </rPr>
      <t>表</t>
    </r>
    <r>
      <rPr>
        <sz val="12"/>
        <color rgb="FF002060"/>
        <rFont val="Times New Roman"/>
        <family val="1"/>
      </rPr>
      <t>3-3-9</t>
    </r>
    <r>
      <rPr>
        <sz val="12"/>
        <color rgb="FF002060"/>
        <rFont val="新細明體"/>
        <family val="1"/>
        <charset val="136"/>
      </rPr>
      <t>　近</t>
    </r>
    <r>
      <rPr>
        <sz val="12"/>
        <color rgb="FF002060"/>
        <rFont val="Times New Roman"/>
        <family val="1"/>
      </rPr>
      <t>5</t>
    </r>
    <r>
      <rPr>
        <sz val="12"/>
        <color rgb="FF002060"/>
        <rFont val="新細明體"/>
        <family val="1"/>
        <charset val="136"/>
      </rPr>
      <t>年少年矯正學校新入校受感化教育學生之性別與教育程度</t>
    </r>
  </si>
  <si>
    <r>
      <rPr>
        <sz val="12"/>
        <color rgb="FF002060"/>
        <rFont val="新細明體"/>
        <family val="1"/>
        <charset val="136"/>
      </rPr>
      <t>表</t>
    </r>
    <r>
      <rPr>
        <sz val="12"/>
        <color rgb="FF002060"/>
        <rFont val="Times New Roman"/>
        <family val="1"/>
      </rPr>
      <t>3-3-10</t>
    </r>
    <r>
      <rPr>
        <sz val="12"/>
        <color rgb="FF002060"/>
        <rFont val="新細明體"/>
        <family val="1"/>
        <charset val="136"/>
      </rPr>
      <t>　近</t>
    </r>
    <r>
      <rPr>
        <sz val="12"/>
        <color rgb="FF002060"/>
        <rFont val="Times New Roman"/>
        <family val="1"/>
      </rPr>
      <t>5</t>
    </r>
    <r>
      <rPr>
        <sz val="12"/>
        <color rgb="FF002060"/>
        <rFont val="新細明體"/>
        <family val="1"/>
        <charset val="136"/>
      </rPr>
      <t>年少年矯正學校新入校受感化教育學生之性別與家庭經濟狀況</t>
    </r>
  </si>
  <si>
    <r>
      <rPr>
        <sz val="12"/>
        <color rgb="FF002060"/>
        <rFont val="新細明體"/>
        <family val="1"/>
        <charset val="136"/>
      </rPr>
      <t>表</t>
    </r>
    <r>
      <rPr>
        <sz val="12"/>
        <color rgb="FF002060"/>
        <rFont val="Times New Roman"/>
        <family val="1"/>
      </rPr>
      <t>3-3-11</t>
    </r>
    <r>
      <rPr>
        <sz val="12"/>
        <color rgb="FF002060"/>
        <rFont val="新細明體"/>
        <family val="1"/>
        <charset val="136"/>
      </rPr>
      <t>　近</t>
    </r>
    <r>
      <rPr>
        <sz val="12"/>
        <color rgb="FF002060"/>
        <rFont val="Times New Roman"/>
        <family val="1"/>
      </rPr>
      <t>5</t>
    </r>
    <r>
      <rPr>
        <sz val="12"/>
        <color rgb="FF002060"/>
        <rFont val="新細明體"/>
        <family val="1"/>
        <charset val="136"/>
      </rPr>
      <t>年少年矯正學校新入校受感化教育學生之性別與罪名</t>
    </r>
  </si>
  <si>
    <r>
      <rPr>
        <sz val="12"/>
        <color rgb="FF002060"/>
        <rFont val="新細明體"/>
        <family val="1"/>
        <charset val="136"/>
      </rPr>
      <t>表</t>
    </r>
    <r>
      <rPr>
        <sz val="12"/>
        <color rgb="FF002060"/>
        <rFont val="Times New Roman"/>
        <family val="1"/>
      </rPr>
      <t>3-3-12</t>
    </r>
    <r>
      <rPr>
        <sz val="12"/>
        <color rgb="FF002060"/>
        <rFont val="新細明體"/>
        <family val="1"/>
        <charset val="136"/>
      </rPr>
      <t>　近</t>
    </r>
    <r>
      <rPr>
        <sz val="12"/>
        <color rgb="FF002060"/>
        <rFont val="Times New Roman"/>
        <family val="1"/>
      </rPr>
      <t>5</t>
    </r>
    <r>
      <rPr>
        <sz val="12"/>
        <color rgb="FF002060"/>
        <rFont val="新細明體"/>
        <family val="1"/>
        <charset val="136"/>
      </rPr>
      <t>年明陽中學在校少年受刑人之性別</t>
    </r>
  </si>
  <si>
    <r>
      <rPr>
        <sz val="12"/>
        <color theme="1"/>
        <rFont val="新細明體"/>
        <family val="1"/>
        <charset val="136"/>
      </rPr>
      <t>曝險少年</t>
    </r>
    <phoneticPr fontId="2" type="noConversion"/>
  </si>
  <si>
    <r>
      <rPr>
        <sz val="12"/>
        <color theme="1"/>
        <rFont val="新細明體"/>
        <family val="1"/>
        <charset val="136"/>
      </rPr>
      <t>觸法少年</t>
    </r>
    <phoneticPr fontId="2" type="noConversion"/>
  </si>
  <si>
    <r>
      <t xml:space="preserve">§18
</t>
    </r>
    <r>
      <rPr>
        <sz val="12"/>
        <color theme="1"/>
        <rFont val="新細明體"/>
        <family val="1"/>
        <charset val="136"/>
      </rPr>
      <t>（</t>
    </r>
    <r>
      <rPr>
        <sz val="12"/>
        <color theme="1"/>
        <rFont val="Times New Roman"/>
        <family val="1"/>
      </rPr>
      <t>112.07.01</t>
    </r>
    <r>
      <rPr>
        <sz val="12"/>
        <color theme="1"/>
        <rFont val="新細明體"/>
        <family val="1"/>
        <charset val="136"/>
      </rPr>
      <t>施行）</t>
    </r>
    <phoneticPr fontId="2" type="noConversion"/>
  </si>
  <si>
    <r>
      <t>§17</t>
    </r>
    <r>
      <rPr>
        <sz val="12"/>
        <color theme="1"/>
        <rFont val="新細明體"/>
        <family val="1"/>
        <charset val="136"/>
      </rPr>
      <t>、</t>
    </r>
    <r>
      <rPr>
        <sz val="12"/>
        <color theme="1"/>
        <rFont val="Times New Roman"/>
        <family val="1"/>
      </rPr>
      <t>§18</t>
    </r>
    <phoneticPr fontId="2" type="noConversion"/>
  </si>
  <si>
    <r>
      <rPr>
        <sz val="12"/>
        <color theme="1"/>
        <rFont val="新細明體"/>
        <family val="1"/>
        <charset val="136"/>
      </rPr>
      <t>少年輔導委員會</t>
    </r>
    <phoneticPr fontId="2" type="noConversion"/>
  </si>
  <si>
    <r>
      <rPr>
        <sz val="12"/>
        <color theme="1"/>
        <rFont val="新細明體"/>
        <family val="1"/>
        <charset val="136"/>
      </rPr>
      <t>移送少年法院</t>
    </r>
    <phoneticPr fontId="2" type="noConversion"/>
  </si>
  <si>
    <t>§19</t>
    <phoneticPr fontId="2" type="noConversion"/>
  </si>
  <si>
    <t>§26</t>
    <phoneticPr fontId="2" type="noConversion"/>
  </si>
  <si>
    <r>
      <rPr>
        <sz val="12"/>
        <color theme="1"/>
        <rFont val="新細明體"/>
        <family val="1"/>
        <charset val="136"/>
      </rPr>
      <t>少年調查官調查</t>
    </r>
    <r>
      <rPr>
        <b/>
        <sz val="12"/>
        <color theme="1"/>
        <rFont val="新細明體"/>
        <family val="1"/>
        <charset val="136"/>
      </rPr>
      <t/>
    </r>
    <phoneticPr fontId="2" type="noConversion"/>
  </si>
  <si>
    <r>
      <rPr>
        <sz val="12"/>
        <color theme="1"/>
        <rFont val="新細明體"/>
        <family val="1"/>
        <charset val="136"/>
      </rPr>
      <t xml:space="preserve">必要時裁定責付或收容於少年觀護所
</t>
    </r>
    <r>
      <rPr>
        <b/>
        <sz val="12"/>
        <color theme="1"/>
        <rFont val="新細明體"/>
        <family val="1"/>
        <charset val="136"/>
      </rPr>
      <t>關聯數據：</t>
    </r>
    <r>
      <rPr>
        <b/>
        <sz val="12"/>
        <color theme="1"/>
        <rFont val="Times New Roman"/>
        <family val="1"/>
      </rPr>
      <t>3-3-1</t>
    </r>
    <r>
      <rPr>
        <b/>
        <sz val="12"/>
        <color theme="1"/>
        <rFont val="新細明體"/>
        <family val="1"/>
        <charset val="136"/>
      </rPr>
      <t>至</t>
    </r>
    <r>
      <rPr>
        <b/>
        <sz val="12"/>
        <color theme="1"/>
        <rFont val="Times New Roman"/>
        <family val="1"/>
      </rPr>
      <t>3-3-5</t>
    </r>
    <phoneticPr fontId="2" type="noConversion"/>
  </si>
  <si>
    <r>
      <rPr>
        <b/>
        <sz val="12"/>
        <color theme="1"/>
        <rFont val="新細明體"/>
        <family val="1"/>
        <charset val="136"/>
      </rPr>
      <t>關聯數據：</t>
    </r>
    <r>
      <rPr>
        <b/>
        <sz val="12"/>
        <color theme="1"/>
        <rFont val="Times New Roman"/>
        <family val="1"/>
      </rPr>
      <t>3-2-1</t>
    </r>
  </si>
  <si>
    <r>
      <rPr>
        <sz val="12"/>
        <color theme="1"/>
        <rFont val="新細明體"/>
        <family val="1"/>
        <charset val="136"/>
      </rPr>
      <t>不付審理
（</t>
    </r>
    <r>
      <rPr>
        <sz val="12"/>
        <color theme="1"/>
        <rFont val="Times New Roman"/>
        <family val="1"/>
      </rPr>
      <t>§28</t>
    </r>
    <r>
      <rPr>
        <sz val="12"/>
        <color theme="1"/>
        <rFont val="新細明體"/>
        <family val="1"/>
        <charset val="136"/>
      </rPr>
      <t>、</t>
    </r>
    <r>
      <rPr>
        <sz val="12"/>
        <color theme="1"/>
        <rFont val="Times New Roman"/>
        <family val="1"/>
      </rPr>
      <t>§29</t>
    </r>
    <r>
      <rPr>
        <sz val="12"/>
        <color theme="1"/>
        <rFont val="新細明體"/>
        <family val="1"/>
        <charset val="136"/>
      </rPr>
      <t>）</t>
    </r>
    <phoneticPr fontId="2" type="noConversion"/>
  </si>
  <si>
    <r>
      <rPr>
        <sz val="12"/>
        <color theme="1"/>
        <rFont val="新細明體"/>
        <family val="1"/>
        <charset val="136"/>
      </rPr>
      <t>開始審理（</t>
    </r>
    <r>
      <rPr>
        <sz val="12"/>
        <color theme="1"/>
        <rFont val="Times New Roman"/>
        <family val="1"/>
      </rPr>
      <t>§30</t>
    </r>
    <r>
      <rPr>
        <sz val="12"/>
        <color theme="1"/>
        <rFont val="新細明體"/>
        <family val="1"/>
        <charset val="136"/>
      </rPr>
      <t>）</t>
    </r>
    <phoneticPr fontId="2" type="noConversion"/>
  </si>
  <si>
    <r>
      <rPr>
        <sz val="12"/>
        <color theme="1"/>
        <rFont val="新細明體"/>
        <family val="1"/>
        <charset val="136"/>
      </rPr>
      <t>移送地檢署（</t>
    </r>
    <r>
      <rPr>
        <sz val="12"/>
        <color theme="1"/>
        <rFont val="Times New Roman"/>
        <family val="1"/>
      </rPr>
      <t>§27</t>
    </r>
    <r>
      <rPr>
        <sz val="12"/>
        <color theme="1"/>
        <rFont val="新細明體"/>
        <family val="1"/>
        <charset val="136"/>
      </rPr>
      <t>）</t>
    </r>
    <phoneticPr fontId="2" type="noConversion"/>
  </si>
  <si>
    <r>
      <rPr>
        <b/>
        <sz val="12"/>
        <color theme="1"/>
        <rFont val="新細明體"/>
        <family val="1"/>
        <charset val="136"/>
      </rPr>
      <t>關聯數據：</t>
    </r>
    <r>
      <rPr>
        <b/>
        <sz val="12"/>
        <color theme="1"/>
        <rFont val="Times New Roman"/>
        <family val="1"/>
      </rPr>
      <t>3-2-2</t>
    </r>
    <phoneticPr fontId="2" type="noConversion"/>
  </si>
  <si>
    <r>
      <rPr>
        <sz val="12"/>
        <color theme="1"/>
        <rFont val="新細明體"/>
        <family val="1"/>
        <charset val="136"/>
      </rPr>
      <t>不付保護處分
（</t>
    </r>
    <r>
      <rPr>
        <sz val="12"/>
        <color theme="1"/>
        <rFont val="Times New Roman"/>
        <family val="1"/>
      </rPr>
      <t>§41I</t>
    </r>
    <r>
      <rPr>
        <sz val="12"/>
        <color theme="1"/>
        <rFont val="新細明體"/>
        <family val="1"/>
        <charset val="136"/>
      </rPr>
      <t>）</t>
    </r>
    <phoneticPr fontId="2" type="noConversion"/>
  </si>
  <si>
    <r>
      <rPr>
        <sz val="12"/>
        <color theme="1"/>
        <rFont val="新細明體"/>
        <family val="1"/>
        <charset val="136"/>
      </rPr>
      <t>交付保護處分（</t>
    </r>
    <r>
      <rPr>
        <sz val="12"/>
        <color theme="1"/>
        <rFont val="Times New Roman"/>
        <family val="1"/>
      </rPr>
      <t>§42</t>
    </r>
    <r>
      <rPr>
        <sz val="12"/>
        <color theme="1"/>
        <rFont val="新細明體"/>
        <family val="1"/>
        <charset val="136"/>
      </rPr>
      <t xml:space="preserve">）
</t>
    </r>
    <r>
      <rPr>
        <b/>
        <sz val="12"/>
        <color theme="1"/>
        <rFont val="新細明體"/>
        <family val="1"/>
        <charset val="136"/>
      </rPr>
      <t>關聯數據（個案調查）：</t>
    </r>
    <r>
      <rPr>
        <b/>
        <sz val="12"/>
        <color theme="1"/>
        <rFont val="Times New Roman"/>
        <family val="1"/>
      </rPr>
      <t>3-2-5</t>
    </r>
    <r>
      <rPr>
        <b/>
        <sz val="12"/>
        <color theme="1"/>
        <rFont val="新細明體"/>
        <family val="1"/>
        <charset val="136"/>
      </rPr>
      <t>至</t>
    </r>
    <r>
      <rPr>
        <b/>
        <sz val="12"/>
        <color theme="1"/>
        <rFont val="Times New Roman"/>
        <family val="1"/>
      </rPr>
      <t>3-2-12</t>
    </r>
    <r>
      <rPr>
        <b/>
        <sz val="12"/>
        <color theme="1"/>
        <rFont val="新細明體"/>
        <family val="1"/>
        <charset val="136"/>
      </rPr>
      <t>、</t>
    </r>
    <r>
      <rPr>
        <b/>
        <sz val="12"/>
        <color theme="1"/>
        <rFont val="Times New Roman"/>
        <family val="1"/>
      </rPr>
      <t>3-2-21</t>
    </r>
    <r>
      <rPr>
        <b/>
        <sz val="12"/>
        <color theme="1"/>
        <rFont val="新細明體"/>
        <family val="1"/>
        <charset val="136"/>
      </rPr>
      <t>至</t>
    </r>
    <r>
      <rPr>
        <b/>
        <sz val="12"/>
        <color theme="1"/>
        <rFont val="Times New Roman"/>
        <family val="1"/>
      </rPr>
      <t>3-2-27</t>
    </r>
    <phoneticPr fontId="2" type="noConversion"/>
  </si>
  <si>
    <r>
      <rPr>
        <sz val="12"/>
        <color theme="1"/>
        <rFont val="新細明體"/>
        <family val="1"/>
        <charset val="136"/>
      </rPr>
      <t>少年符合</t>
    </r>
    <r>
      <rPr>
        <sz val="12"/>
        <color theme="1"/>
        <rFont val="Times New Roman"/>
        <family val="1"/>
      </rPr>
      <t>§27I</t>
    </r>
    <r>
      <rPr>
        <sz val="12"/>
        <color theme="1"/>
        <rFont val="新細明體"/>
        <family val="1"/>
        <charset val="136"/>
      </rPr>
      <t>要件
（</t>
    </r>
    <r>
      <rPr>
        <sz val="12"/>
        <color theme="1"/>
        <rFont val="Times New Roman"/>
        <family val="1"/>
      </rPr>
      <t>§40</t>
    </r>
    <r>
      <rPr>
        <sz val="12"/>
        <color theme="1"/>
        <rFont val="新細明體"/>
        <family val="1"/>
        <charset val="136"/>
      </rPr>
      <t>）</t>
    </r>
    <phoneticPr fontId="2" type="noConversion"/>
  </si>
  <si>
    <r>
      <rPr>
        <sz val="12"/>
        <color theme="1"/>
        <rFont val="新細明體"/>
        <family val="1"/>
        <charset val="136"/>
      </rPr>
      <t>地檢署</t>
    </r>
    <phoneticPr fontId="2" type="noConversion"/>
  </si>
  <si>
    <r>
      <rPr>
        <sz val="12"/>
        <color theme="1"/>
        <rFont val="新細明體"/>
        <family val="1"/>
        <charset val="136"/>
      </rPr>
      <t>感化教育（</t>
    </r>
    <r>
      <rPr>
        <sz val="12"/>
        <color theme="1"/>
        <rFont val="Times New Roman"/>
        <family val="1"/>
      </rPr>
      <t>§42I</t>
    </r>
    <r>
      <rPr>
        <sz val="12"/>
        <color theme="1"/>
        <rFont val="新細明體"/>
        <family val="1"/>
        <charset val="136"/>
      </rPr>
      <t>）</t>
    </r>
    <phoneticPr fontId="2" type="noConversion"/>
  </si>
  <si>
    <r>
      <rPr>
        <sz val="12"/>
        <color theme="1"/>
        <rFont val="新細明體"/>
        <family val="1"/>
        <charset val="136"/>
      </rPr>
      <t>訓誡、保護管束、安置輔導
（</t>
    </r>
    <r>
      <rPr>
        <sz val="12"/>
        <color theme="1"/>
        <rFont val="Times New Roman"/>
        <family val="1"/>
      </rPr>
      <t>§42I</t>
    </r>
    <r>
      <rPr>
        <sz val="12"/>
        <color theme="1"/>
        <rFont val="新細明體"/>
        <family val="1"/>
        <charset val="136"/>
      </rPr>
      <t>）</t>
    </r>
    <phoneticPr fontId="2" type="noConversion"/>
  </si>
  <si>
    <t xml:space="preserve">   §74</t>
    <phoneticPr fontId="2" type="noConversion"/>
  </si>
  <si>
    <r>
      <rPr>
        <sz val="12"/>
        <color theme="1"/>
        <rFont val="新細明體"/>
        <family val="1"/>
        <charset val="136"/>
      </rPr>
      <t>起訴（</t>
    </r>
    <r>
      <rPr>
        <sz val="12"/>
        <color theme="1"/>
        <rFont val="Times New Roman"/>
        <family val="1"/>
      </rPr>
      <t>§67I</t>
    </r>
    <r>
      <rPr>
        <sz val="12"/>
        <color theme="1"/>
        <rFont val="新細明體"/>
        <family val="1"/>
        <charset val="136"/>
      </rPr>
      <t>後段）</t>
    </r>
    <phoneticPr fontId="2" type="noConversion"/>
  </si>
  <si>
    <r>
      <rPr>
        <sz val="12"/>
        <color theme="1"/>
        <rFont val="新細明體"/>
        <family val="1"/>
        <charset val="136"/>
      </rPr>
      <t>不起訴（</t>
    </r>
    <r>
      <rPr>
        <sz val="12"/>
        <color theme="1"/>
        <rFont val="Times New Roman"/>
        <family val="1"/>
      </rPr>
      <t>§67I</t>
    </r>
    <r>
      <rPr>
        <sz val="12"/>
        <color theme="1"/>
        <rFont val="新細明體"/>
        <family val="1"/>
        <charset val="136"/>
      </rPr>
      <t>前段）</t>
    </r>
    <phoneticPr fontId="2" type="noConversion"/>
  </si>
  <si>
    <r>
      <rPr>
        <sz val="12"/>
        <color theme="1"/>
        <rFont val="新細明體"/>
        <family val="1"/>
        <charset val="136"/>
      </rPr>
      <t xml:space="preserve">少年矯正學校
</t>
    </r>
    <r>
      <rPr>
        <b/>
        <sz val="12"/>
        <color theme="1"/>
        <rFont val="新細明體"/>
        <family val="1"/>
        <charset val="136"/>
      </rPr>
      <t>關聯數據：</t>
    </r>
    <r>
      <rPr>
        <b/>
        <sz val="12"/>
        <color theme="1"/>
        <rFont val="Times New Roman"/>
        <family val="1"/>
      </rPr>
      <t>3-3-6</t>
    </r>
    <r>
      <rPr>
        <b/>
        <sz val="12"/>
        <color theme="1"/>
        <rFont val="新細明體"/>
        <family val="1"/>
        <charset val="136"/>
      </rPr>
      <t>至</t>
    </r>
    <r>
      <rPr>
        <b/>
        <sz val="12"/>
        <color theme="1"/>
        <rFont val="Times New Roman"/>
        <family val="1"/>
      </rPr>
      <t>3-3-12</t>
    </r>
    <phoneticPr fontId="2" type="noConversion"/>
  </si>
  <si>
    <r>
      <rPr>
        <sz val="11"/>
        <color theme="1"/>
        <rFont val="細明體"/>
        <family val="3"/>
        <charset val="136"/>
      </rPr>
      <t>監獄行刑法</t>
    </r>
    <r>
      <rPr>
        <sz val="11"/>
        <color theme="1"/>
        <rFont val="Times New Roman"/>
        <family val="1"/>
      </rPr>
      <t>§4</t>
    </r>
    <phoneticPr fontId="2" type="noConversion"/>
  </si>
  <si>
    <r>
      <rPr>
        <sz val="12"/>
        <color theme="1"/>
        <rFont val="新細明體"/>
        <family val="1"/>
        <charset val="136"/>
      </rPr>
      <t xml:space="preserve">裁判結果
</t>
    </r>
    <r>
      <rPr>
        <b/>
        <sz val="12"/>
        <color theme="1"/>
        <rFont val="新細明體"/>
        <family val="1"/>
        <charset val="136"/>
      </rPr>
      <t>關聯數據：</t>
    </r>
    <r>
      <rPr>
        <b/>
        <sz val="12"/>
        <color theme="1"/>
        <rFont val="Times New Roman"/>
        <family val="1"/>
      </rPr>
      <t>3-2-3</t>
    </r>
    <phoneticPr fontId="2" type="noConversion"/>
  </si>
  <si>
    <r>
      <rPr>
        <sz val="12"/>
        <color theme="1"/>
        <rFont val="新細明體"/>
        <family val="1"/>
        <charset val="136"/>
      </rPr>
      <t>法院審理（</t>
    </r>
    <r>
      <rPr>
        <sz val="12"/>
        <color theme="1"/>
        <rFont val="Times New Roman"/>
        <family val="1"/>
      </rPr>
      <t>§70</t>
    </r>
    <r>
      <rPr>
        <sz val="12"/>
        <color theme="1"/>
        <rFont val="新細明體"/>
        <family val="1"/>
        <charset val="136"/>
      </rPr>
      <t>）</t>
    </r>
    <phoneticPr fontId="2" type="noConversion"/>
  </si>
  <si>
    <r>
      <rPr>
        <b/>
        <sz val="12"/>
        <color theme="1"/>
        <rFont val="細明體"/>
        <family val="3"/>
        <charset val="136"/>
      </rPr>
      <t xml:space="preserve">關聯數據（個案調查）
</t>
    </r>
    <r>
      <rPr>
        <b/>
        <sz val="12"/>
        <color theme="1"/>
        <rFont val="Times New Roman"/>
        <family val="1"/>
      </rPr>
      <t>3-2-13</t>
    </r>
    <r>
      <rPr>
        <b/>
        <sz val="12"/>
        <color theme="1"/>
        <rFont val="細明體"/>
        <family val="3"/>
        <charset val="136"/>
      </rPr>
      <t>至</t>
    </r>
    <r>
      <rPr>
        <b/>
        <sz val="12"/>
        <color theme="1"/>
        <rFont val="Times New Roman"/>
        <family val="1"/>
      </rPr>
      <t>3-2-20</t>
    </r>
    <phoneticPr fontId="2" type="noConversion"/>
  </si>
  <si>
    <r>
      <t>說明：</t>
    </r>
    <r>
      <rPr>
        <sz val="10"/>
        <color theme="1"/>
        <rFont val="Times New Roman"/>
        <family val="1"/>
      </rPr>
      <t xml:space="preserve">1. </t>
    </r>
    <r>
      <rPr>
        <sz val="10"/>
        <color theme="1"/>
        <rFont val="細明體"/>
        <family val="3"/>
        <charset val="136"/>
      </rPr>
      <t>本圖援引法條，如無註記，皆為少年事件處理法。
　　　</t>
    </r>
    <r>
      <rPr>
        <sz val="10"/>
        <color theme="1"/>
        <rFont val="Times New Roman"/>
        <family val="1"/>
      </rPr>
      <t xml:space="preserve">2. </t>
    </r>
    <r>
      <rPr>
        <sz val="10"/>
        <color theme="1"/>
        <rFont val="細明體"/>
        <family val="3"/>
        <charset val="136"/>
      </rPr>
      <t>為能讓讀者瞭解本篇數據統計階段與範圍，本圖僅列示與本篇數據關聯的處理程序。</t>
    </r>
    <phoneticPr fontId="2" type="noConversion"/>
  </si>
  <si>
    <t>本篇表次對應少年事件程序圖</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</si>
</sst>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42" formatCode="_-&quot;$&quot;* #,##0_-;\-&quot;$&quot;* #,##0_-;_-&quot;$&quot;* &quot;-&quot;_-;_-@_-"/>
    <numFmt numFmtId="41" formatCode="_-* #,##0_-;\-* #,##0_-;_-* &quot;-&quot;_-;_-@_-"/>
    <numFmt numFmtId="44" formatCode="_-&quot;$&quot;* #,##0.00_-;\-&quot;$&quot;* #,##0.00_-;_-&quot;$&quot;* &quot;-&quot;??_-;_-@_-"/>
    <numFmt numFmtId="43" formatCode="_-* #,##0.00_-;\-* #,##0.00_-;_-* &quot;-&quot;??_-;_-@_-"/>
    <numFmt numFmtId="176" formatCode="_(* #,##0_);_(* \(#,##0\);_(* &quot;-&quot;_);_(@_)"/>
    <numFmt numFmtId="177" formatCode="0.00_);[Red]\(0.00\)"/>
    <numFmt numFmtId="178" formatCode="\-"/>
    <numFmt numFmtId="179" formatCode="#,##0.00_ "/>
    <numFmt numFmtId="180" formatCode="#,##0_ "/>
    <numFmt numFmtId="181" formatCode="0.00_ "/>
    <numFmt numFmtId="182" formatCode="#,##0;[Red]#,##0"/>
    <numFmt numFmtId="183" formatCode="_-* #,##0_-;\-* #,##0_-;_-* &quot;-&quot;??_-;_-@_-"/>
    <numFmt numFmtId="184" formatCode="0_ "/>
    <numFmt numFmtId="185" formatCode="0_);[Red]\(0\)"/>
    <numFmt numFmtId="186" formatCode="#,##0;\-#,##0;\-"/>
    <numFmt numFmtId="187" formatCode="#,##0.00;\-#,##0.00;\-"/>
    <numFmt numFmtId="188" formatCode="_(* #,##0_);_(* \(#,##0\);_(* &quot;-&quot;??_);_(@_)"/>
  </numFmts>
  <fonts count="73">
    <font>
      <sz val="12"/>
      <color theme="1"/>
      <name val="新細明體"/>
      <family val="2"/>
      <charset val="136"/>
      <scheme val="minor"/>
    </font>
    <font>
      <sz val="12"/>
      <name val="新細明體"/>
      <family val="1"/>
      <charset val="136"/>
    </font>
    <font>
      <sz val="9"/>
      <name val="新細明體"/>
      <family val="2"/>
      <charset val="136"/>
      <scheme val="minor"/>
    </font>
    <font>
      <sz val="9"/>
      <name val="細明體"/>
      <family val="3"/>
      <charset val="136"/>
    </font>
    <font>
      <sz val="15"/>
      <color rgb="FF000000"/>
      <name val="Times New Roman"/>
      <family val="1"/>
      <charset val="136"/>
    </font>
    <font>
      <sz val="15"/>
      <color rgb="FF000000"/>
      <name val="新細明體"/>
      <family val="1"/>
      <charset val="136"/>
    </font>
    <font>
      <sz val="15"/>
      <color rgb="FF000000"/>
      <name val="Times New Roman"/>
      <family val="1"/>
    </font>
    <font>
      <sz val="12"/>
      <color rgb="FF000000"/>
      <name val="新細明體"/>
      <family val="2"/>
      <charset val="136"/>
    </font>
    <font>
      <sz val="12"/>
      <color rgb="FF000000"/>
      <name val="Times New Roman"/>
      <family val="1"/>
    </font>
    <font>
      <sz val="12"/>
      <color rgb="FF000000"/>
      <name val="新細明體"/>
      <family val="1"/>
      <charset val="136"/>
    </font>
    <font>
      <sz val="12"/>
      <color rgb="FF000000"/>
      <name val="細明體"/>
      <family val="3"/>
      <charset val="136"/>
    </font>
    <font>
      <sz val="9"/>
      <name val="新細明體"/>
      <family val="3"/>
      <charset val="136"/>
    </font>
    <font>
      <sz val="9"/>
      <name val="新細明體"/>
      <family val="2"/>
      <charset val="136"/>
    </font>
    <font>
      <sz val="10"/>
      <color rgb="FF000000"/>
      <name val="Times New Roman"/>
      <family val="1"/>
    </font>
    <font>
      <sz val="10"/>
      <color rgb="FF000000"/>
      <name val="新細明體"/>
      <family val="1"/>
      <charset val="136"/>
    </font>
    <font>
      <sz val="15"/>
      <name val="Times New Roman"/>
      <family val="1"/>
    </font>
    <font>
      <sz val="15"/>
      <name val="新細明體"/>
      <family val="1"/>
      <charset val="136"/>
    </font>
    <font>
      <sz val="12"/>
      <name val="Times New Roman"/>
      <family val="1"/>
    </font>
    <font>
      <sz val="12"/>
      <name val="PMingLiU"/>
      <family val="1"/>
      <charset val="136"/>
    </font>
    <font>
      <sz val="10"/>
      <name val="Times New Roman"/>
      <family val="1"/>
    </font>
    <font>
      <sz val="10"/>
      <name val="新細明體"/>
      <family val="1"/>
      <charset val="136"/>
    </font>
    <font>
      <sz val="10"/>
      <name val="Times New Roman"/>
      <family val="1"/>
      <charset val="136"/>
    </font>
    <font>
      <sz val="15"/>
      <name val="Times New Roman"/>
      <family val="1"/>
      <charset val="136"/>
    </font>
    <font>
      <sz val="9"/>
      <name val="新細明體"/>
      <family val="3"/>
      <charset val="136"/>
      <scheme val="minor"/>
    </font>
    <font>
      <sz val="11"/>
      <name val="Times New Roman"/>
      <family val="1"/>
    </font>
    <font>
      <sz val="11"/>
      <name val="新細明體"/>
      <family val="1"/>
      <charset val="136"/>
    </font>
    <font>
      <sz val="15"/>
      <color theme="1"/>
      <name val="Times New Roman"/>
      <family val="1"/>
    </font>
    <font>
      <sz val="15"/>
      <color theme="1"/>
      <name val="新細明體"/>
      <family val="1"/>
      <charset val="136"/>
    </font>
    <font>
      <sz val="12"/>
      <color theme="1"/>
      <name val="Times New Roman"/>
      <family val="1"/>
    </font>
    <font>
      <sz val="12"/>
      <color theme="1"/>
      <name val="新細明體"/>
      <family val="1"/>
      <charset val="136"/>
      <scheme val="major"/>
    </font>
    <font>
      <sz val="10"/>
      <color theme="1"/>
      <name val="Times New Roman"/>
      <family val="1"/>
    </font>
    <font>
      <sz val="10"/>
      <color theme="1"/>
      <name val="新細明體"/>
      <family val="1"/>
      <charset val="136"/>
    </font>
    <font>
      <sz val="12"/>
      <color theme="1"/>
      <name val="新細明體"/>
      <family val="2"/>
    </font>
    <font>
      <sz val="12"/>
      <color theme="1"/>
      <name val="新細明體"/>
      <family val="1"/>
      <charset val="136"/>
      <scheme val="minor"/>
    </font>
    <font>
      <sz val="10"/>
      <name val="細明體"/>
      <family val="3"/>
      <charset val="136"/>
    </font>
    <font>
      <sz val="12"/>
      <color theme="1"/>
      <name val="新細明體"/>
      <family val="2"/>
      <charset val="136"/>
    </font>
    <font>
      <sz val="12"/>
      <color theme="1"/>
      <name val="Times Roman"/>
    </font>
    <font>
      <sz val="14"/>
      <color theme="1"/>
      <name val="新細明體"/>
      <family val="2"/>
      <charset val="136"/>
    </font>
    <font>
      <sz val="14"/>
      <color theme="1"/>
      <name val="Times New Roman"/>
      <family val="1"/>
    </font>
    <font>
      <sz val="12"/>
      <color theme="1"/>
      <name val="新細明體"/>
      <family val="1"/>
      <charset val="136"/>
    </font>
    <font>
      <sz val="9"/>
      <name val="新細明體"/>
      <family val="1"/>
      <charset val="136"/>
    </font>
    <font>
      <sz val="11"/>
      <color theme="1"/>
      <name val="新細明體"/>
      <family val="1"/>
      <charset val="136"/>
      <scheme val="major"/>
    </font>
    <font>
      <sz val="12"/>
      <name val="細明體"/>
      <family val="3"/>
      <charset val="136"/>
    </font>
    <font>
      <sz val="12"/>
      <name val="標楷體"/>
      <family val="4"/>
      <charset val="136"/>
    </font>
    <font>
      <sz val="12"/>
      <color theme="1"/>
      <name val="Times New Roman"/>
      <family val="2"/>
    </font>
    <font>
      <sz val="10"/>
      <color theme="1"/>
      <name val="Times New Roman"/>
      <family val="1"/>
      <charset val="136"/>
    </font>
    <font>
      <b/>
      <sz val="10"/>
      <color theme="1"/>
      <name val="Times New Roman"/>
      <family val="1"/>
    </font>
    <font>
      <b/>
      <sz val="10"/>
      <color theme="1"/>
      <name val="新細明體"/>
      <family val="1"/>
      <charset val="136"/>
    </font>
    <font>
      <sz val="12"/>
      <name val="Times New Roman"/>
      <family val="3"/>
    </font>
    <font>
      <sz val="12"/>
      <color theme="1"/>
      <name val="PMingLiU"/>
      <family val="1"/>
      <charset val="136"/>
    </font>
    <font>
      <sz val="12"/>
      <color theme="1"/>
      <name val="新細明體"/>
      <family val="2"/>
      <charset val="136"/>
      <scheme val="minor"/>
    </font>
    <font>
      <sz val="11"/>
      <name val="細明體"/>
      <family val="3"/>
      <charset val="136"/>
    </font>
    <font>
      <sz val="12"/>
      <name val="華康中楷體"/>
      <family val="3"/>
      <charset val="136"/>
    </font>
    <font>
      <b/>
      <sz val="12"/>
      <color theme="1"/>
      <name val="Times New Roman"/>
      <family val="1"/>
    </font>
    <font>
      <sz val="12"/>
      <color rgb="FF00B050"/>
      <name val="Times New Roman"/>
      <family val="1"/>
    </font>
    <font>
      <sz val="12"/>
      <color theme="1"/>
      <name val="新細明體"/>
      <family val="1"/>
      <scheme val="minor"/>
    </font>
    <font>
      <sz val="12"/>
      <color theme="1"/>
      <name val="細明體"/>
      <family val="3"/>
      <charset val="136"/>
    </font>
    <font>
      <sz val="10"/>
      <color theme="1"/>
      <name val="新細明體"/>
      <family val="2"/>
      <charset val="136"/>
    </font>
    <font>
      <sz val="12"/>
      <color theme="1"/>
      <name val="新細明體"/>
      <family val="2"/>
      <scheme val="minor"/>
    </font>
    <font>
      <b/>
      <sz val="12"/>
      <color theme="1"/>
      <name val="新細明體"/>
      <family val="1"/>
      <charset val="136"/>
    </font>
    <font>
      <u/>
      <sz val="12"/>
      <color theme="10"/>
      <name val="新細明體"/>
      <family val="2"/>
      <charset val="136"/>
      <scheme val="minor"/>
    </font>
    <font>
      <b/>
      <u/>
      <sz val="12"/>
      <color rgb="FF0070C0"/>
      <name val="新細明體"/>
      <family val="1"/>
      <charset val="136"/>
      <scheme val="minor"/>
    </font>
    <font>
      <sz val="15"/>
      <color theme="1"/>
      <name val="細明體"/>
      <family val="3"/>
      <charset val="136"/>
    </font>
    <font>
      <sz val="15"/>
      <name val="細明體"/>
      <family val="3"/>
      <charset val="136"/>
    </font>
    <font>
      <sz val="12"/>
      <color rgb="FF002060"/>
      <name val="Times New Roman"/>
      <family val="1"/>
    </font>
    <font>
      <sz val="12"/>
      <color rgb="FF002060"/>
      <name val="新細明體"/>
      <family val="2"/>
      <charset val="136"/>
    </font>
    <font>
      <u/>
      <sz val="12"/>
      <color theme="10"/>
      <name val="Times New Roman"/>
      <family val="1"/>
    </font>
    <font>
      <sz val="12"/>
      <color rgb="FF002060"/>
      <name val="新細明體"/>
      <family val="1"/>
      <charset val="136"/>
    </font>
    <font>
      <sz val="11"/>
      <color theme="1"/>
      <name val="Times New Roman"/>
      <family val="1"/>
    </font>
    <font>
      <sz val="11"/>
      <color theme="1"/>
      <name val="細明體"/>
      <family val="3"/>
      <charset val="136"/>
    </font>
    <font>
      <b/>
      <sz val="12"/>
      <color theme="1"/>
      <name val="細明體"/>
      <family val="3"/>
      <charset val="136"/>
    </font>
    <font>
      <sz val="10"/>
      <color theme="1"/>
      <name val="細明體"/>
      <family val="3"/>
      <charset val="136"/>
    </font>
    <font>
      <b/>
      <sz val="12"/>
      <color theme="5" tint="-0.499984740745262"/>
      <name val="新細明體"/>
      <family val="1"/>
      <charset val="136"/>
      <scheme val="minor"/>
    </font>
  </fonts>
  <fills count="4">
    <fill>
      <patternFill patternType="none"/>
    </fill>
    <fill>
      <patternFill patternType="gray125"/>
    </fill>
    <fill>
      <patternFill patternType="solid">
        <fgColor theme="9" tint="0.59999389629810485"/>
        <bgColor indexed="64"/>
      </patternFill>
    </fill>
    <fill>
      <patternFill patternType="solid">
        <fgColor theme="9" tint="0.79998168889431442"/>
        <bgColor indexed="64"/>
      </patternFill>
    </fill>
  </fills>
  <borders count="33">
    <border>
      <left/>
      <right/>
      <top/>
      <bottom/>
      <diagonal/>
    </border>
    <border>
      <left/>
      <right/>
      <top style="thin">
        <color indexed="64"/>
      </top>
      <bottom/>
      <diagonal/>
    </border>
    <border>
      <left/>
      <right/>
      <top style="thin">
        <color indexed="64"/>
      </top>
      <bottom style="thin">
        <color indexed="64"/>
      </bottom>
      <diagonal/>
    </border>
    <border>
      <left/>
      <right/>
      <top/>
      <bottom style="thin">
        <color auto="1"/>
      </bottom>
      <diagonal/>
    </border>
    <border>
      <left style="thin">
        <color auto="1"/>
      </left>
      <right/>
      <top/>
      <bottom style="thin">
        <color auto="1"/>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auto="1"/>
      </right>
      <top/>
      <bottom/>
      <diagonal/>
    </border>
    <border>
      <left/>
      <right/>
      <top/>
      <bottom style="medium">
        <color indexed="64"/>
      </bottom>
      <diagonal/>
    </border>
    <border>
      <left/>
      <right/>
      <top style="medium">
        <color indexed="64"/>
      </top>
      <bottom/>
      <diagonal/>
    </border>
    <border>
      <left/>
      <right/>
      <top style="medium">
        <color indexed="64"/>
      </top>
      <bottom style="thin">
        <color auto="1"/>
      </bottom>
      <diagonal/>
    </border>
    <border>
      <left/>
      <right/>
      <top/>
      <bottom style="thick">
        <color auto="1"/>
      </bottom>
      <diagonal/>
    </border>
    <border>
      <left/>
      <right/>
      <top style="thick">
        <color auto="1"/>
      </top>
      <bottom style="thin">
        <color auto="1"/>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auto="1"/>
      </right>
      <top/>
      <bottom style="thin">
        <color auto="1"/>
      </bottom>
      <diagonal/>
    </border>
    <border>
      <left style="thin">
        <color auto="1"/>
      </left>
      <right/>
      <top/>
      <bottom/>
      <diagonal/>
    </border>
    <border>
      <left style="medium">
        <color auto="1"/>
      </left>
      <right/>
      <top style="thin">
        <color auto="1"/>
      </top>
      <bottom/>
      <diagonal/>
    </border>
    <border>
      <left style="medium">
        <color auto="1"/>
      </left>
      <right/>
      <top/>
      <bottom/>
      <diagonal/>
    </border>
    <border>
      <left style="thin">
        <color auto="1"/>
      </left>
      <right style="thin">
        <color auto="1"/>
      </right>
      <top style="mediumDashed">
        <color auto="1"/>
      </top>
      <bottom/>
      <diagonal/>
    </border>
    <border>
      <left style="thin">
        <color auto="1"/>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thin">
        <color auto="1"/>
      </bottom>
      <diagonal/>
    </border>
    <border>
      <left style="medium">
        <color auto="1"/>
      </left>
      <right/>
      <top style="medium">
        <color auto="1"/>
      </top>
      <bottom/>
      <diagonal/>
    </border>
    <border>
      <left/>
      <right style="medium">
        <color auto="1"/>
      </right>
      <top style="medium">
        <color auto="1"/>
      </top>
      <bottom style="thin">
        <color auto="1"/>
      </bottom>
      <diagonal/>
    </border>
    <border>
      <left style="thin">
        <color auto="1"/>
      </left>
      <right/>
      <top/>
      <bottom style="medium">
        <color auto="1"/>
      </bottom>
      <diagonal/>
    </border>
    <border>
      <left style="thin">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thin">
        <color auto="1"/>
      </bottom>
      <diagonal/>
    </border>
    <border>
      <left/>
      <right style="medium">
        <color auto="1"/>
      </right>
      <top/>
      <bottom style="medium">
        <color auto="1"/>
      </bottom>
      <diagonal/>
    </border>
    <border>
      <left style="thin">
        <color auto="1"/>
      </left>
      <right style="thin">
        <color auto="1"/>
      </right>
      <top style="medium">
        <color auto="1"/>
      </top>
      <bottom/>
      <diagonal/>
    </border>
    <border>
      <left style="medium">
        <color auto="1"/>
      </left>
      <right/>
      <top style="thin">
        <color auto="1"/>
      </top>
      <bottom style="thin">
        <color auto="1"/>
      </bottom>
      <diagonal/>
    </border>
  </borders>
  <cellStyleXfs count="12">
    <xf numFmtId="0" fontId="0" fillId="0" borderId="0">
      <alignment vertical="center"/>
    </xf>
    <xf numFmtId="0" fontId="1" fillId="0" borderId="0"/>
    <xf numFmtId="43" fontId="1" fillId="0" borderId="0" applyFont="0" applyFill="0" applyBorder="0" applyAlignment="0" applyProtection="0"/>
    <xf numFmtId="0" fontId="33" fillId="0" borderId="0">
      <alignment vertical="center"/>
    </xf>
    <xf numFmtId="0" fontId="17" fillId="0" borderId="0"/>
    <xf numFmtId="176" fontId="17" fillId="0" borderId="0" applyFont="0" applyFill="0" applyBorder="0" applyAlignment="0" applyProtection="0"/>
    <xf numFmtId="0" fontId="1" fillId="0" borderId="0">
      <alignment vertical="center"/>
    </xf>
    <xf numFmtId="0" fontId="50" fillId="0" borderId="0">
      <alignment vertical="center"/>
    </xf>
    <xf numFmtId="0" fontId="52" fillId="0" borderId="0"/>
    <xf numFmtId="0" fontId="17" fillId="0" borderId="0"/>
    <xf numFmtId="0" fontId="58" fillId="0" borderId="0">
      <alignment vertical="center"/>
    </xf>
    <xf numFmtId="0" fontId="60" fillId="0" borderId="0" applyNumberFormat="0" applyFill="0" applyBorder="0" applyAlignment="0" applyProtection="0">
      <alignment vertical="center"/>
    </xf>
  </cellStyleXfs>
  <cellXfs count="633">
    <xf numFmtId="0" fontId="0" fillId="0" borderId="0" xfId="0">
      <alignment vertical="center"/>
    </xf>
    <xf numFmtId="0" fontId="8" fillId="0" borderId="0" xfId="1" applyFont="1"/>
    <xf numFmtId="0" fontId="13" fillId="0" borderId="0" xfId="1" applyFont="1" applyAlignment="1">
      <alignment horizontal="left" vertical="center"/>
    </xf>
    <xf numFmtId="0" fontId="0" fillId="0" borderId="2" xfId="1" applyFont="1" applyBorder="1" applyAlignment="1">
      <alignment horizontal="center" vertical="distributed" textRotation="255" indent="1"/>
    </xf>
    <xf numFmtId="0" fontId="17" fillId="0" borderId="2" xfId="1" applyFont="1" applyBorder="1" applyAlignment="1">
      <alignment horizontal="center" vertical="distributed" textRotation="255" indent="1"/>
    </xf>
    <xf numFmtId="0" fontId="17" fillId="0" borderId="0" xfId="1" applyFont="1" applyAlignment="1">
      <alignment horizontal="center" vertical="center"/>
    </xf>
    <xf numFmtId="41" fontId="17" fillId="0" borderId="0" xfId="1" applyNumberFormat="1" applyFont="1" applyAlignment="1">
      <alignment horizontal="right" vertical="center"/>
    </xf>
    <xf numFmtId="0" fontId="17" fillId="0" borderId="3" xfId="1" applyFont="1" applyBorder="1" applyAlignment="1">
      <alignment horizontal="center" vertical="center"/>
    </xf>
    <xf numFmtId="41" fontId="17" fillId="0" borderId="3" xfId="1" applyNumberFormat="1" applyFont="1" applyBorder="1" applyAlignment="1">
      <alignment horizontal="right" vertical="center"/>
    </xf>
    <xf numFmtId="0" fontId="19" fillId="0" borderId="0" xfId="1" applyFont="1" applyAlignment="1">
      <alignment horizontal="left" vertical="center"/>
    </xf>
    <xf numFmtId="0" fontId="17" fillId="0" borderId="2" xfId="1" applyFont="1" applyBorder="1" applyAlignment="1">
      <alignment horizontal="center" vertical="center"/>
    </xf>
    <xf numFmtId="41" fontId="17" fillId="0" borderId="2" xfId="1" applyNumberFormat="1" applyFont="1" applyBorder="1" applyAlignment="1">
      <alignment horizontal="right" vertical="center"/>
    </xf>
    <xf numFmtId="41" fontId="17" fillId="0" borderId="1" xfId="1" applyNumberFormat="1" applyFont="1" applyBorder="1" applyAlignment="1">
      <alignment horizontal="right" vertical="center"/>
    </xf>
    <xf numFmtId="0" fontId="19" fillId="0" borderId="1" xfId="1" applyFont="1" applyBorder="1" applyAlignment="1">
      <alignment vertical="center"/>
    </xf>
    <xf numFmtId="0" fontId="17" fillId="0" borderId="0" xfId="1" applyFont="1"/>
    <xf numFmtId="0" fontId="28" fillId="0" borderId="1" xfId="1" applyFont="1" applyBorder="1" applyAlignment="1">
      <alignment horizontal="center" vertical="center"/>
    </xf>
    <xf numFmtId="0" fontId="28" fillId="0" borderId="0" xfId="1" applyFont="1" applyAlignment="1">
      <alignment horizontal="center" vertical="center"/>
    </xf>
    <xf numFmtId="41" fontId="28" fillId="0" borderId="0" xfId="1" applyNumberFormat="1" applyFont="1" applyAlignment="1">
      <alignment horizontal="right" vertical="center"/>
    </xf>
    <xf numFmtId="43" fontId="28" fillId="0" borderId="0" xfId="1" applyNumberFormat="1" applyFont="1" applyAlignment="1">
      <alignment horizontal="right" vertical="center"/>
    </xf>
    <xf numFmtId="0" fontId="17" fillId="0" borderId="1" xfId="1" applyFont="1" applyBorder="1" applyAlignment="1">
      <alignment horizontal="center" vertical="center"/>
    </xf>
    <xf numFmtId="0" fontId="28" fillId="0" borderId="2" xfId="1" applyFont="1" applyBorder="1" applyAlignment="1">
      <alignment horizontal="center" vertical="center"/>
    </xf>
    <xf numFmtId="38" fontId="17" fillId="0" borderId="0" xfId="1" applyNumberFormat="1" applyFont="1" applyAlignment="1">
      <alignment horizontal="right" vertical="center" shrinkToFit="1"/>
    </xf>
    <xf numFmtId="177" fontId="17" fillId="0" borderId="0" xfId="1" applyNumberFormat="1" applyFont="1" applyAlignment="1">
      <alignment horizontal="right" vertical="center"/>
    </xf>
    <xf numFmtId="0" fontId="17" fillId="0" borderId="0" xfId="1" applyFont="1" applyAlignment="1">
      <alignment horizontal="right"/>
    </xf>
    <xf numFmtId="0" fontId="17" fillId="0" borderId="3" xfId="1" applyFont="1" applyBorder="1" applyAlignment="1">
      <alignment horizontal="right"/>
    </xf>
    <xf numFmtId="38" fontId="17" fillId="0" borderId="3" xfId="1" applyNumberFormat="1" applyFont="1" applyBorder="1" applyAlignment="1">
      <alignment horizontal="right" vertical="center" shrinkToFit="1"/>
    </xf>
    <xf numFmtId="177" fontId="17" fillId="0" borderId="3" xfId="1" applyNumberFormat="1" applyFont="1" applyBorder="1" applyAlignment="1">
      <alignment horizontal="right" vertical="center"/>
    </xf>
    <xf numFmtId="0" fontId="17" fillId="0" borderId="0" xfId="3" applyFont="1" applyAlignment="1">
      <alignment horizontal="distributed" vertical="center" wrapText="1"/>
    </xf>
    <xf numFmtId="38" fontId="17" fillId="0" borderId="8" xfId="1" applyNumberFormat="1" applyFont="1" applyBorder="1" applyAlignment="1">
      <alignment horizontal="right" vertical="center" shrinkToFit="1"/>
    </xf>
    <xf numFmtId="41" fontId="17" fillId="0" borderId="8" xfId="1" applyNumberFormat="1" applyFont="1" applyBorder="1" applyAlignment="1">
      <alignment horizontal="right" vertical="center"/>
    </xf>
    <xf numFmtId="177" fontId="17" fillId="0" borderId="8" xfId="1" applyNumberFormat="1" applyFont="1" applyBorder="1" applyAlignment="1">
      <alignment horizontal="right" vertical="center"/>
    </xf>
    <xf numFmtId="0" fontId="17" fillId="0" borderId="9" xfId="1" applyFont="1" applyBorder="1" applyAlignment="1">
      <alignment horizontal="center" vertical="center"/>
    </xf>
    <xf numFmtId="41" fontId="17" fillId="0" borderId="1" xfId="1" applyNumberFormat="1" applyFont="1" applyBorder="1" applyAlignment="1">
      <alignment horizontal="right" vertical="center" shrinkToFit="1"/>
    </xf>
    <xf numFmtId="43" fontId="17" fillId="0" borderId="1" xfId="1" applyNumberFormat="1" applyFont="1" applyBorder="1" applyAlignment="1">
      <alignment horizontal="right" vertical="center"/>
    </xf>
    <xf numFmtId="2" fontId="17" fillId="0" borderId="0" xfId="1" applyNumberFormat="1" applyFont="1"/>
    <xf numFmtId="41" fontId="17" fillId="0" borderId="0" xfId="1" applyNumberFormat="1" applyFont="1"/>
    <xf numFmtId="41" fontId="17" fillId="0" borderId="3" xfId="1" applyNumberFormat="1" applyFont="1" applyBorder="1"/>
    <xf numFmtId="0" fontId="17" fillId="0" borderId="1" xfId="3" applyFont="1" applyBorder="1" applyAlignment="1">
      <alignment horizontal="distributed" vertical="center" wrapText="1"/>
    </xf>
    <xf numFmtId="0" fontId="17" fillId="0" borderId="3" xfId="3" applyFont="1" applyBorder="1" applyAlignment="1">
      <alignment horizontal="distributed" vertical="center" wrapText="1"/>
    </xf>
    <xf numFmtId="43" fontId="17" fillId="0" borderId="0" xfId="1" applyNumberFormat="1" applyFont="1" applyAlignment="1">
      <alignment horizontal="right" vertical="center"/>
    </xf>
    <xf numFmtId="0" fontId="17" fillId="0" borderId="8" xfId="3" applyFont="1" applyBorder="1" applyAlignment="1">
      <alignment horizontal="distributed" vertical="center" wrapText="1"/>
    </xf>
    <xf numFmtId="3" fontId="17" fillId="0" borderId="0" xfId="1" applyNumberFormat="1" applyFont="1"/>
    <xf numFmtId="0" fontId="36" fillId="0" borderId="0" xfId="0" applyFont="1">
      <alignment vertical="center"/>
    </xf>
    <xf numFmtId="0" fontId="28" fillId="0" borderId="0" xfId="0" applyFont="1">
      <alignment vertical="center"/>
    </xf>
    <xf numFmtId="2" fontId="28" fillId="0" borderId="0" xfId="0" applyNumberFormat="1" applyFont="1">
      <alignment vertical="center"/>
    </xf>
    <xf numFmtId="0" fontId="28" fillId="0" borderId="0" xfId="0" applyFont="1" applyAlignment="1">
      <alignment horizontal="right" vertical="center"/>
    </xf>
    <xf numFmtId="2" fontId="28" fillId="0" borderId="0" xfId="0" applyNumberFormat="1" applyFont="1" applyAlignment="1">
      <alignment horizontal="right" vertical="center"/>
    </xf>
    <xf numFmtId="0" fontId="28" fillId="0" borderId="8" xfId="0" applyFont="1" applyBorder="1" applyAlignment="1">
      <alignment horizontal="right" vertical="center"/>
    </xf>
    <xf numFmtId="2" fontId="28" fillId="0" borderId="8" xfId="0" applyNumberFormat="1" applyFont="1" applyBorder="1" applyAlignment="1">
      <alignment horizontal="right" vertical="center"/>
    </xf>
    <xf numFmtId="0" fontId="28" fillId="0" borderId="3" xfId="0" applyFont="1" applyBorder="1" applyAlignment="1">
      <alignment horizontal="center" vertical="center"/>
    </xf>
    <xf numFmtId="2" fontId="28" fillId="0" borderId="3" xfId="0" applyNumberFormat="1" applyFont="1" applyBorder="1">
      <alignment vertical="center"/>
    </xf>
    <xf numFmtId="0" fontId="28" fillId="0" borderId="3" xfId="0" applyFont="1" applyBorder="1">
      <alignment vertical="center"/>
    </xf>
    <xf numFmtId="43" fontId="17" fillId="0" borderId="3" xfId="1" applyNumberFormat="1" applyFont="1" applyBorder="1" applyAlignment="1">
      <alignment horizontal="right" vertical="center"/>
    </xf>
    <xf numFmtId="41" fontId="28" fillId="0" borderId="1" xfId="1" applyNumberFormat="1" applyFont="1" applyBorder="1" applyAlignment="1">
      <alignment horizontal="right" vertical="center"/>
    </xf>
    <xf numFmtId="41" fontId="28" fillId="0" borderId="3" xfId="1" applyNumberFormat="1" applyFont="1" applyBorder="1" applyAlignment="1">
      <alignment horizontal="right" vertical="center"/>
    </xf>
    <xf numFmtId="0" fontId="28" fillId="0" borderId="0" xfId="1" applyFont="1" applyAlignment="1">
      <alignment vertical="center"/>
    </xf>
    <xf numFmtId="178" fontId="28" fillId="0" borderId="0" xfId="0" applyNumberFormat="1" applyFont="1">
      <alignment vertical="center"/>
    </xf>
    <xf numFmtId="178" fontId="28" fillId="0" borderId="3" xfId="0" applyNumberFormat="1" applyFont="1" applyBorder="1">
      <alignment vertical="center"/>
    </xf>
    <xf numFmtId="0" fontId="17" fillId="0" borderId="1" xfId="1" applyFont="1" applyBorder="1" applyAlignment="1">
      <alignment horizontal="center" vertical="center" wrapText="1"/>
    </xf>
    <xf numFmtId="0" fontId="17" fillId="0" borderId="0" xfId="1" applyFont="1" applyAlignment="1">
      <alignment vertical="center"/>
    </xf>
    <xf numFmtId="0" fontId="17" fillId="0" borderId="0" xfId="1" applyFont="1" applyAlignment="1">
      <alignment horizontal="right" vertical="center"/>
    </xf>
    <xf numFmtId="41" fontId="17" fillId="0" borderId="0" xfId="1" applyNumberFormat="1" applyFont="1" applyAlignment="1">
      <alignment horizontal="right" vertical="center" shrinkToFit="1"/>
    </xf>
    <xf numFmtId="0" fontId="17" fillId="0" borderId="3" xfId="1" applyFont="1" applyBorder="1" applyAlignment="1">
      <alignment horizontal="right" vertical="center"/>
    </xf>
    <xf numFmtId="41" fontId="17" fillId="0" borderId="3" xfId="1" applyNumberFormat="1" applyFont="1" applyBorder="1" applyAlignment="1">
      <alignment horizontal="right" vertical="center" shrinkToFit="1"/>
    </xf>
    <xf numFmtId="43" fontId="17" fillId="0" borderId="8" xfId="1" applyNumberFormat="1" applyFont="1" applyBorder="1" applyAlignment="1">
      <alignment horizontal="right" vertical="center"/>
    </xf>
    <xf numFmtId="0" fontId="17" fillId="0" borderId="0" xfId="1" applyFont="1" applyAlignment="1">
      <alignment horizontal="center"/>
    </xf>
    <xf numFmtId="38" fontId="17" fillId="0" borderId="1" xfId="1" applyNumberFormat="1" applyFont="1" applyBorder="1" applyAlignment="1">
      <alignment horizontal="right" vertical="center"/>
    </xf>
    <xf numFmtId="181" fontId="17" fillId="0" borderId="0" xfId="1" applyNumberFormat="1" applyFont="1" applyAlignment="1">
      <alignment horizontal="right" vertical="center"/>
    </xf>
    <xf numFmtId="38" fontId="17" fillId="0" borderId="0" xfId="1" applyNumberFormat="1" applyFont="1" applyAlignment="1">
      <alignment horizontal="right" vertical="center"/>
    </xf>
    <xf numFmtId="42" fontId="17" fillId="0" borderId="0" xfId="1" applyNumberFormat="1" applyFont="1" applyAlignment="1">
      <alignment horizontal="right" vertical="center"/>
    </xf>
    <xf numFmtId="38" fontId="17" fillId="0" borderId="8" xfId="1" applyNumberFormat="1" applyFont="1" applyBorder="1" applyAlignment="1">
      <alignment horizontal="right" vertical="center"/>
    </xf>
    <xf numFmtId="42" fontId="17" fillId="0" borderId="8" xfId="1" applyNumberFormat="1" applyFont="1" applyBorder="1" applyAlignment="1">
      <alignment horizontal="right" vertical="center"/>
    </xf>
    <xf numFmtId="38" fontId="17" fillId="0" borderId="3" xfId="1" applyNumberFormat="1" applyFont="1" applyBorder="1" applyAlignment="1">
      <alignment horizontal="right" vertical="center"/>
    </xf>
    <xf numFmtId="42" fontId="17" fillId="0" borderId="3" xfId="1" applyNumberFormat="1" applyFont="1" applyBorder="1" applyAlignment="1">
      <alignment horizontal="right" vertical="center"/>
    </xf>
    <xf numFmtId="0" fontId="19" fillId="0" borderId="0" xfId="1" applyFont="1" applyAlignment="1">
      <alignment vertical="center"/>
    </xf>
    <xf numFmtId="3" fontId="19" fillId="0" borderId="0" xfId="1" applyNumberFormat="1" applyFont="1" applyAlignment="1">
      <alignment vertical="center"/>
    </xf>
    <xf numFmtId="40" fontId="17" fillId="0" borderId="0" xfId="1" applyNumberFormat="1" applyFont="1" applyAlignment="1">
      <alignment horizontal="right" vertical="center"/>
    </xf>
    <xf numFmtId="180" fontId="17" fillId="0" borderId="0" xfId="1" applyNumberFormat="1" applyFont="1" applyAlignment="1">
      <alignment horizontal="right" vertical="center"/>
    </xf>
    <xf numFmtId="179" fontId="17" fillId="0" borderId="0" xfId="1" applyNumberFormat="1" applyFont="1" applyAlignment="1">
      <alignment horizontal="right" vertical="center"/>
    </xf>
    <xf numFmtId="180" fontId="17" fillId="0" borderId="1" xfId="1" applyNumberFormat="1" applyFont="1" applyBorder="1" applyAlignment="1">
      <alignment horizontal="right" vertical="center"/>
    </xf>
    <xf numFmtId="180" fontId="17" fillId="0" borderId="3" xfId="1" applyNumberFormat="1" applyFont="1" applyBorder="1" applyAlignment="1">
      <alignment horizontal="right" vertical="center"/>
    </xf>
    <xf numFmtId="179" fontId="17" fillId="0" borderId="3" xfId="1" applyNumberFormat="1" applyFont="1" applyBorder="1" applyAlignment="1">
      <alignment horizontal="right" vertical="center"/>
    </xf>
    <xf numFmtId="0" fontId="28" fillId="0" borderId="3" xfId="0" applyFont="1" applyBorder="1" applyAlignment="1">
      <alignment horizontal="right" vertical="center"/>
    </xf>
    <xf numFmtId="0" fontId="28" fillId="0" borderId="3" xfId="1" applyFont="1" applyBorder="1" applyAlignment="1">
      <alignment horizontal="right"/>
    </xf>
    <xf numFmtId="38" fontId="28" fillId="0" borderId="3" xfId="1" applyNumberFormat="1" applyFont="1" applyBorder="1" applyAlignment="1">
      <alignment horizontal="right" vertical="center" shrinkToFit="1"/>
    </xf>
    <xf numFmtId="177" fontId="28" fillId="0" borderId="3" xfId="1" applyNumberFormat="1" applyFont="1" applyBorder="1" applyAlignment="1">
      <alignment horizontal="right" vertical="center"/>
    </xf>
    <xf numFmtId="38" fontId="17" fillId="0" borderId="0" xfId="1" applyNumberFormat="1" applyFont="1" applyAlignment="1">
      <alignment vertical="center"/>
    </xf>
    <xf numFmtId="2" fontId="17" fillId="0" borderId="0" xfId="1" applyNumberFormat="1" applyFont="1" applyAlignment="1">
      <alignment vertical="center"/>
    </xf>
    <xf numFmtId="182" fontId="17" fillId="0" borderId="0" xfId="1" applyNumberFormat="1" applyFont="1" applyAlignment="1">
      <alignment vertical="center"/>
    </xf>
    <xf numFmtId="0" fontId="0" fillId="0" borderId="2" xfId="1" applyFont="1" applyBorder="1" applyAlignment="1">
      <alignment horizontal="center" vertical="center"/>
    </xf>
    <xf numFmtId="180" fontId="17" fillId="0" borderId="11" xfId="1" applyNumberFormat="1" applyFont="1" applyBorder="1" applyAlignment="1">
      <alignment horizontal="right" vertical="center"/>
    </xf>
    <xf numFmtId="179" fontId="17" fillId="0" borderId="11" xfId="1" applyNumberFormat="1" applyFont="1" applyBorder="1" applyAlignment="1">
      <alignment horizontal="right" vertical="center"/>
    </xf>
    <xf numFmtId="0" fontId="32" fillId="0" borderId="0" xfId="3" applyFont="1" applyAlignment="1">
      <alignment horizontal="distributed" vertical="center" wrapText="1"/>
    </xf>
    <xf numFmtId="0" fontId="17" fillId="0" borderId="0" xfId="1" applyFont="1" applyAlignment="1">
      <alignment horizontal="center" vertical="center" shrinkToFit="1"/>
    </xf>
    <xf numFmtId="0" fontId="17" fillId="0" borderId="3" xfId="1" applyFont="1" applyBorder="1" applyAlignment="1">
      <alignment vertical="center"/>
    </xf>
    <xf numFmtId="2" fontId="17" fillId="0" borderId="3" xfId="1" applyNumberFormat="1" applyFont="1" applyBorder="1" applyAlignment="1">
      <alignment vertical="center"/>
    </xf>
    <xf numFmtId="3" fontId="17" fillId="0" borderId="0" xfId="1" applyNumberFormat="1" applyFont="1" applyAlignment="1">
      <alignment vertical="center"/>
    </xf>
    <xf numFmtId="0" fontId="18" fillId="0" borderId="0" xfId="3" applyFont="1" applyAlignment="1">
      <alignment horizontal="distributed" vertical="center" wrapText="1"/>
    </xf>
    <xf numFmtId="0" fontId="42" fillId="0" borderId="0" xfId="3" applyFont="1" applyAlignment="1">
      <alignment horizontal="distributed" vertical="center" wrapText="1"/>
    </xf>
    <xf numFmtId="43" fontId="17" fillId="0" borderId="0" xfId="1" applyNumberFormat="1" applyFont="1" applyAlignment="1">
      <alignment vertical="center"/>
    </xf>
    <xf numFmtId="43" fontId="17" fillId="0" borderId="1" xfId="1" applyNumberFormat="1" applyFont="1" applyBorder="1" applyAlignment="1">
      <alignment horizontal="right" vertical="center" shrinkToFit="1"/>
    </xf>
    <xf numFmtId="43" fontId="17" fillId="0" borderId="0" xfId="1" applyNumberFormat="1" applyFont="1" applyAlignment="1">
      <alignment horizontal="right" vertical="center" shrinkToFit="1"/>
    </xf>
    <xf numFmtId="43" fontId="17" fillId="0" borderId="3" xfId="1" applyNumberFormat="1" applyFont="1" applyBorder="1" applyAlignment="1">
      <alignment horizontal="right" vertical="center" shrinkToFit="1"/>
    </xf>
    <xf numFmtId="2" fontId="17" fillId="0" borderId="0" xfId="1" applyNumberFormat="1" applyFont="1" applyAlignment="1">
      <alignment horizontal="right" vertical="center"/>
    </xf>
    <xf numFmtId="41" fontId="17" fillId="0" borderId="0" xfId="1" applyNumberFormat="1" applyFont="1" applyAlignment="1">
      <alignment vertical="center"/>
    </xf>
    <xf numFmtId="0" fontId="0" fillId="0" borderId="0" xfId="3" applyFont="1" applyAlignment="1">
      <alignment horizontal="distributed" vertical="center" wrapText="1"/>
    </xf>
    <xf numFmtId="0" fontId="43" fillId="0" borderId="0" xfId="1" applyFont="1" applyAlignment="1">
      <alignment vertical="center"/>
    </xf>
    <xf numFmtId="0" fontId="29" fillId="0" borderId="2" xfId="1" applyFont="1" applyBorder="1" applyAlignment="1">
      <alignment horizontal="center" vertical="center"/>
    </xf>
    <xf numFmtId="0" fontId="29" fillId="0" borderId="3" xfId="1" applyFont="1" applyBorder="1" applyAlignment="1">
      <alignment horizontal="center" vertical="center"/>
    </xf>
    <xf numFmtId="0" fontId="29" fillId="0" borderId="6" xfId="1" applyFont="1" applyBorder="1" applyAlignment="1">
      <alignment horizontal="center" vertical="center"/>
    </xf>
    <xf numFmtId="43" fontId="28" fillId="0" borderId="7" xfId="1" applyNumberFormat="1" applyFont="1" applyBorder="1" applyAlignment="1">
      <alignment horizontal="right" vertical="center"/>
    </xf>
    <xf numFmtId="41" fontId="28" fillId="0" borderId="16" xfId="1" applyNumberFormat="1" applyFont="1" applyBorder="1" applyAlignment="1">
      <alignment horizontal="right" vertical="center"/>
    </xf>
    <xf numFmtId="41" fontId="28" fillId="0" borderId="0" xfId="2" applyNumberFormat="1" applyFont="1" applyFill="1" applyBorder="1" applyAlignment="1">
      <alignment horizontal="right" vertical="center"/>
    </xf>
    <xf numFmtId="41" fontId="28" fillId="0" borderId="16" xfId="1" applyNumberFormat="1" applyFont="1" applyBorder="1" applyAlignment="1">
      <alignment vertical="center"/>
    </xf>
    <xf numFmtId="41" fontId="28" fillId="0" borderId="0" xfId="2" applyNumberFormat="1" applyFont="1" applyFill="1" applyBorder="1" applyAlignment="1">
      <alignment vertical="center"/>
    </xf>
    <xf numFmtId="41" fontId="28" fillId="0" borderId="0" xfId="1" applyNumberFormat="1" applyFont="1" applyAlignment="1">
      <alignment vertical="center"/>
    </xf>
    <xf numFmtId="40" fontId="17" fillId="0" borderId="1" xfId="1" applyNumberFormat="1" applyFont="1" applyBorder="1" applyAlignment="1">
      <alignment horizontal="right" vertical="center" shrinkToFit="1"/>
    </xf>
    <xf numFmtId="40" fontId="17" fillId="0" borderId="0" xfId="1" applyNumberFormat="1" applyFont="1" applyAlignment="1">
      <alignment horizontal="right" vertical="center" shrinkToFit="1"/>
    </xf>
    <xf numFmtId="40" fontId="17" fillId="0" borderId="3" xfId="1" applyNumberFormat="1" applyFont="1" applyBorder="1" applyAlignment="1">
      <alignment horizontal="right" vertical="center" shrinkToFit="1"/>
    </xf>
    <xf numFmtId="40" fontId="17" fillId="0" borderId="8" xfId="1" applyNumberFormat="1" applyFont="1" applyBorder="1" applyAlignment="1">
      <alignment horizontal="right" vertical="center" shrinkToFit="1"/>
    </xf>
    <xf numFmtId="0" fontId="19" fillId="0" borderId="0" xfId="1" applyFont="1"/>
    <xf numFmtId="43" fontId="28" fillId="0" borderId="1" xfId="1" applyNumberFormat="1" applyFont="1" applyBorder="1" applyAlignment="1">
      <alignment horizontal="right" vertical="center"/>
    </xf>
    <xf numFmtId="0" fontId="28" fillId="0" borderId="0" xfId="1" applyFont="1" applyAlignment="1">
      <alignment horizontal="right" vertical="center"/>
    </xf>
    <xf numFmtId="0" fontId="28" fillId="0" borderId="3" xfId="1" applyFont="1" applyBorder="1" applyAlignment="1">
      <alignment horizontal="right" vertical="center"/>
    </xf>
    <xf numFmtId="43" fontId="28" fillId="0" borderId="3" xfId="1" applyNumberFormat="1" applyFont="1" applyBorder="1" applyAlignment="1">
      <alignment horizontal="right" vertical="center"/>
    </xf>
    <xf numFmtId="0" fontId="28" fillId="0" borderId="0" xfId="3" applyFont="1" applyAlignment="1">
      <alignment horizontal="distributed" vertical="center" wrapText="1"/>
    </xf>
    <xf numFmtId="41" fontId="28" fillId="0" borderId="0" xfId="1" applyNumberFormat="1" applyFont="1" applyAlignment="1">
      <alignment horizontal="right" vertical="center" shrinkToFit="1"/>
    </xf>
    <xf numFmtId="41" fontId="28" fillId="0" borderId="0" xfId="0" applyNumberFormat="1" applyFont="1">
      <alignment vertical="center"/>
    </xf>
    <xf numFmtId="178" fontId="17" fillId="0" borderId="0" xfId="1" applyNumberFormat="1" applyFont="1" applyAlignment="1">
      <alignment vertical="center"/>
    </xf>
    <xf numFmtId="41" fontId="28" fillId="0" borderId="0" xfId="0" applyNumberFormat="1" applyFont="1" applyAlignment="1">
      <alignment horizontal="right" vertical="center"/>
    </xf>
    <xf numFmtId="0" fontId="28" fillId="0" borderId="3" xfId="3" applyFont="1" applyBorder="1" applyAlignment="1">
      <alignment horizontal="distributed" vertical="center" wrapText="1"/>
    </xf>
    <xf numFmtId="41" fontId="28" fillId="0" borderId="3" xfId="0" applyNumberFormat="1" applyFont="1" applyBorder="1">
      <alignment vertical="center"/>
    </xf>
    <xf numFmtId="178" fontId="17" fillId="0" borderId="3" xfId="1" applyNumberFormat="1" applyFont="1" applyBorder="1" applyAlignment="1">
      <alignment vertical="center"/>
    </xf>
    <xf numFmtId="2" fontId="30" fillId="0" borderId="0" xfId="1" applyNumberFormat="1" applyFont="1" applyAlignment="1">
      <alignment vertical="center"/>
    </xf>
    <xf numFmtId="0" fontId="0" fillId="0" borderId="0" xfId="0" applyAlignment="1">
      <alignment horizontal="center" vertical="center"/>
    </xf>
    <xf numFmtId="0" fontId="0" fillId="0" borderId="0" xfId="0" applyAlignment="1">
      <alignment horizontal="right" vertical="center"/>
    </xf>
    <xf numFmtId="41" fontId="17" fillId="0" borderId="0" xfId="1" applyNumberFormat="1" applyFont="1" applyAlignment="1">
      <alignment horizontal="left" vertical="center"/>
    </xf>
    <xf numFmtId="43" fontId="17" fillId="0" borderId="0" xfId="1" applyNumberFormat="1" applyFont="1" applyAlignment="1">
      <alignment horizontal="left" vertical="center"/>
    </xf>
    <xf numFmtId="41" fontId="17" fillId="0" borderId="8" xfId="1" applyNumberFormat="1" applyFont="1" applyBorder="1" applyAlignment="1">
      <alignment horizontal="left" vertical="center"/>
    </xf>
    <xf numFmtId="43" fontId="17" fillId="0" borderId="8" xfId="1" applyNumberFormat="1" applyFont="1" applyBorder="1" applyAlignment="1">
      <alignment horizontal="left" vertical="center"/>
    </xf>
    <xf numFmtId="43" fontId="17" fillId="0" borderId="0" xfId="1" applyNumberFormat="1" applyFont="1" applyAlignment="1">
      <alignment horizontal="right"/>
    </xf>
    <xf numFmtId="0" fontId="1" fillId="0" borderId="0" xfId="3" applyFont="1" applyAlignment="1">
      <alignment horizontal="distributed" vertical="center" wrapText="1"/>
    </xf>
    <xf numFmtId="0" fontId="17" fillId="0" borderId="1" xfId="1" applyFont="1" applyBorder="1" applyAlignment="1">
      <alignment horizontal="center"/>
    </xf>
    <xf numFmtId="0" fontId="17" fillId="0" borderId="9" xfId="1" applyFont="1" applyBorder="1" applyAlignment="1">
      <alignment horizontal="center" shrinkToFit="1"/>
    </xf>
    <xf numFmtId="0" fontId="17" fillId="0" borderId="0" xfId="1" applyFont="1" applyAlignment="1">
      <alignment horizontal="center" shrinkToFit="1"/>
    </xf>
    <xf numFmtId="38" fontId="17" fillId="0" borderId="0" xfId="1" applyNumberFormat="1" applyFont="1"/>
    <xf numFmtId="40" fontId="28" fillId="0" borderId="0" xfId="0" applyNumberFormat="1" applyFont="1">
      <alignment vertical="center"/>
    </xf>
    <xf numFmtId="38" fontId="17" fillId="0" borderId="1" xfId="1" applyNumberFormat="1" applyFont="1" applyBorder="1" applyAlignment="1">
      <alignment horizontal="right" vertical="center" shrinkToFit="1"/>
    </xf>
    <xf numFmtId="177" fontId="17" fillId="0" borderId="1" xfId="1" applyNumberFormat="1" applyFont="1" applyBorder="1" applyAlignment="1">
      <alignment horizontal="right" vertical="center"/>
    </xf>
    <xf numFmtId="0" fontId="7" fillId="0" borderId="2" xfId="1" applyFont="1" applyBorder="1" applyAlignment="1">
      <alignment horizontal="center" vertical="center"/>
    </xf>
    <xf numFmtId="0" fontId="7" fillId="0" borderId="2" xfId="1" applyFont="1" applyBorder="1" applyAlignment="1">
      <alignment horizontal="center" vertical="center" wrapText="1"/>
    </xf>
    <xf numFmtId="0" fontId="7" fillId="0" borderId="3" xfId="1" applyFont="1" applyBorder="1" applyAlignment="1">
      <alignment vertical="center" shrinkToFit="1"/>
    </xf>
    <xf numFmtId="41" fontId="8" fillId="0" borderId="3" xfId="1" applyNumberFormat="1" applyFont="1" applyBorder="1" applyAlignment="1">
      <alignment horizontal="right" vertical="center"/>
    </xf>
    <xf numFmtId="41" fontId="8" fillId="0" borderId="3" xfId="1" applyNumberFormat="1" applyFont="1" applyBorder="1" applyAlignment="1">
      <alignment horizontal="right"/>
    </xf>
    <xf numFmtId="41" fontId="8" fillId="0" borderId="0" xfId="1" applyNumberFormat="1" applyFont="1" applyAlignment="1">
      <alignment horizontal="right" vertical="center"/>
    </xf>
    <xf numFmtId="41" fontId="8" fillId="0" borderId="0" xfId="1" applyNumberFormat="1" applyFont="1" applyAlignment="1">
      <alignment horizontal="right"/>
    </xf>
    <xf numFmtId="0" fontId="7" fillId="0" borderId="0" xfId="1" applyFont="1" applyAlignment="1">
      <alignment vertical="center" shrinkToFit="1"/>
    </xf>
    <xf numFmtId="41" fontId="8" fillId="0" borderId="1" xfId="1" applyNumberFormat="1" applyFont="1" applyBorder="1" applyAlignment="1">
      <alignment horizontal="right" vertical="center"/>
    </xf>
    <xf numFmtId="178" fontId="28" fillId="0" borderId="1" xfId="0" applyNumberFormat="1" applyFont="1" applyBorder="1">
      <alignment vertical="center"/>
    </xf>
    <xf numFmtId="0" fontId="28" fillId="0" borderId="0" xfId="0" applyFont="1" applyAlignment="1">
      <alignment horizontal="distributed" vertical="center"/>
    </xf>
    <xf numFmtId="0" fontId="28" fillId="0" borderId="8" xfId="0" applyFont="1" applyBorder="1" applyAlignment="1">
      <alignment horizontal="distributed" vertical="center"/>
    </xf>
    <xf numFmtId="0" fontId="28" fillId="0" borderId="3" xfId="0" applyFont="1" applyBorder="1" applyAlignment="1">
      <alignment horizontal="distributed" vertical="center"/>
    </xf>
    <xf numFmtId="0" fontId="28" fillId="0" borderId="3" xfId="1" applyFont="1" applyBorder="1" applyAlignment="1">
      <alignment horizontal="center" vertical="center"/>
    </xf>
    <xf numFmtId="0" fontId="19" fillId="0" borderId="0" xfId="4" applyFont="1"/>
    <xf numFmtId="0" fontId="19" fillId="0" borderId="0" xfId="4" applyFont="1" applyAlignment="1">
      <alignment horizontal="center"/>
    </xf>
    <xf numFmtId="38" fontId="19" fillId="0" borderId="0" xfId="4" applyNumberFormat="1" applyFont="1"/>
    <xf numFmtId="2" fontId="19" fillId="0" borderId="0" xfId="4" applyNumberFormat="1" applyFont="1" applyAlignment="1">
      <alignment horizontal="center" vertical="center"/>
    </xf>
    <xf numFmtId="0" fontId="20" fillId="0" borderId="0" xfId="4" applyFont="1"/>
    <xf numFmtId="40" fontId="17" fillId="0" borderId="3" xfId="4" applyNumberFormat="1" applyBorder="1" applyAlignment="1">
      <alignment horizontal="right" vertical="center"/>
    </xf>
    <xf numFmtId="0" fontId="17" fillId="0" borderId="3" xfId="4" applyBorder="1" applyAlignment="1">
      <alignment horizontal="center" vertical="center"/>
    </xf>
    <xf numFmtId="38" fontId="17" fillId="0" borderId="0" xfId="4" applyNumberFormat="1" applyAlignment="1">
      <alignment horizontal="right" vertical="center"/>
    </xf>
    <xf numFmtId="0" fontId="17" fillId="0" borderId="0" xfId="4" applyAlignment="1">
      <alignment horizontal="center" vertical="center" wrapText="1"/>
    </xf>
    <xf numFmtId="40" fontId="17" fillId="0" borderId="0" xfId="4" applyNumberFormat="1" applyAlignment="1">
      <alignment horizontal="right" vertical="center"/>
    </xf>
    <xf numFmtId="0" fontId="17" fillId="0" borderId="0" xfId="4" applyAlignment="1">
      <alignment horizontal="center" vertical="center"/>
    </xf>
    <xf numFmtId="40" fontId="28" fillId="0" borderId="0" xfId="4" applyNumberFormat="1" applyFont="1" applyAlignment="1">
      <alignment horizontal="right" vertical="center"/>
    </xf>
    <xf numFmtId="38" fontId="17" fillId="0" borderId="1" xfId="4" applyNumberFormat="1" applyBorder="1" applyAlignment="1">
      <alignment horizontal="right" vertical="center"/>
    </xf>
    <xf numFmtId="0" fontId="17" fillId="0" borderId="2" xfId="4" applyBorder="1" applyAlignment="1">
      <alignment horizontal="center" vertical="center"/>
    </xf>
    <xf numFmtId="0" fontId="17" fillId="0" borderId="1" xfId="4" applyBorder="1"/>
    <xf numFmtId="0" fontId="17" fillId="0" borderId="0" xfId="4"/>
    <xf numFmtId="43" fontId="17" fillId="0" borderId="3" xfId="4" applyNumberFormat="1" applyBorder="1" applyAlignment="1">
      <alignment horizontal="right" vertical="center"/>
    </xf>
    <xf numFmtId="43" fontId="17" fillId="0" borderId="3" xfId="4" applyNumberFormat="1" applyBorder="1" applyAlignment="1">
      <alignment horizontal="center" vertical="center"/>
    </xf>
    <xf numFmtId="41" fontId="17" fillId="0" borderId="0" xfId="4" applyNumberFormat="1" applyAlignment="1">
      <alignment horizontal="right" vertical="center"/>
    </xf>
    <xf numFmtId="41" fontId="17" fillId="0" borderId="0" xfId="4" applyNumberFormat="1" applyAlignment="1">
      <alignment horizontal="center" vertical="center"/>
    </xf>
    <xf numFmtId="43" fontId="17" fillId="0" borderId="0" xfId="4" applyNumberFormat="1" applyAlignment="1">
      <alignment horizontal="right" vertical="center"/>
    </xf>
    <xf numFmtId="43" fontId="17" fillId="0" borderId="0" xfId="4" applyNumberFormat="1" applyAlignment="1">
      <alignment horizontal="center" vertical="center"/>
    </xf>
    <xf numFmtId="41" fontId="17" fillId="0" borderId="1" xfId="4" applyNumberFormat="1" applyBorder="1" applyAlignment="1">
      <alignment horizontal="right" vertical="center"/>
    </xf>
    <xf numFmtId="0" fontId="19" fillId="0" borderId="0" xfId="4" applyFont="1" applyAlignment="1">
      <alignment horizontal="center" vertical="center"/>
    </xf>
    <xf numFmtId="187" fontId="17" fillId="0" borderId="3" xfId="4" applyNumberFormat="1" applyBorder="1" applyAlignment="1">
      <alignment horizontal="right" vertical="center" indent="1"/>
    </xf>
    <xf numFmtId="186" fontId="17" fillId="0" borderId="0" xfId="4" applyNumberFormat="1" applyAlignment="1">
      <alignment horizontal="right" vertical="center" indent="1"/>
    </xf>
    <xf numFmtId="187" fontId="17" fillId="0" borderId="0" xfId="4" applyNumberFormat="1" applyAlignment="1">
      <alignment horizontal="right" vertical="center" indent="1"/>
    </xf>
    <xf numFmtId="186" fontId="17" fillId="0" borderId="1" xfId="4" applyNumberFormat="1" applyBorder="1" applyAlignment="1">
      <alignment horizontal="right" vertical="center" indent="1"/>
    </xf>
    <xf numFmtId="38" fontId="17" fillId="0" borderId="0" xfId="4" applyNumberFormat="1"/>
    <xf numFmtId="0" fontId="25" fillId="0" borderId="0" xfId="4" applyFont="1"/>
    <xf numFmtId="41" fontId="17" fillId="0" borderId="0" xfId="4" applyNumberFormat="1" applyAlignment="1">
      <alignment horizontal="center" vertical="center" wrapText="1"/>
    </xf>
    <xf numFmtId="41" fontId="17" fillId="0" borderId="3" xfId="4" applyNumberFormat="1" applyBorder="1" applyAlignment="1">
      <alignment horizontal="right" vertical="center"/>
    </xf>
    <xf numFmtId="41" fontId="17" fillId="0" borderId="0" xfId="0" applyNumberFormat="1" applyFont="1" applyAlignment="1">
      <alignment horizontal="right" vertical="center"/>
    </xf>
    <xf numFmtId="186" fontId="19" fillId="0" borderId="0" xfId="4" applyNumberFormat="1" applyFont="1" applyAlignment="1">
      <alignment horizontal="right"/>
    </xf>
    <xf numFmtId="0" fontId="34" fillId="0" borderId="0" xfId="4" applyFont="1"/>
    <xf numFmtId="176" fontId="19" fillId="0" borderId="0" xfId="5" applyFont="1" applyBorder="1"/>
    <xf numFmtId="0" fontId="17" fillId="0" borderId="0" xfId="6" applyFont="1">
      <alignment vertical="center"/>
    </xf>
    <xf numFmtId="0" fontId="17" fillId="0" borderId="0" xfId="4" applyAlignment="1">
      <alignment horizontal="center"/>
    </xf>
    <xf numFmtId="188" fontId="17" fillId="0" borderId="0" xfId="4" applyNumberFormat="1"/>
    <xf numFmtId="2" fontId="17" fillId="0" borderId="0" xfId="4" applyNumberFormat="1" applyAlignment="1">
      <alignment horizontal="center" vertical="center"/>
    </xf>
    <xf numFmtId="41" fontId="17" fillId="0" borderId="0" xfId="7" applyNumberFormat="1" applyFont="1" applyAlignment="1">
      <alignment horizontal="right" vertical="center"/>
    </xf>
    <xf numFmtId="41" fontId="17" fillId="0" borderId="1" xfId="7" applyNumberFormat="1" applyFont="1" applyBorder="1" applyAlignment="1">
      <alignment horizontal="right" vertical="center"/>
    </xf>
    <xf numFmtId="0" fontId="17" fillId="0" borderId="2" xfId="8" quotePrefix="1" applyFont="1" applyBorder="1" applyAlignment="1">
      <alignment horizontal="center" vertical="center"/>
    </xf>
    <xf numFmtId="0" fontId="53" fillId="0" borderId="0" xfId="1" applyFont="1" applyAlignment="1">
      <alignment horizontal="center" vertical="center"/>
    </xf>
    <xf numFmtId="0" fontId="31" fillId="0" borderId="2" xfId="1" applyFont="1" applyBorder="1" applyAlignment="1">
      <alignment horizontal="center" vertical="center"/>
    </xf>
    <xf numFmtId="0" fontId="30" fillId="0" borderId="2" xfId="1" applyFont="1" applyBorder="1" applyAlignment="1">
      <alignment horizontal="center" vertical="center"/>
    </xf>
    <xf numFmtId="0" fontId="54" fillId="0" borderId="0" xfId="1" applyFont="1" applyAlignment="1">
      <alignment vertical="center"/>
    </xf>
    <xf numFmtId="41" fontId="28" fillId="0" borderId="3" xfId="2" applyNumberFormat="1" applyFont="1" applyFill="1" applyBorder="1" applyAlignment="1">
      <alignment horizontal="right" vertical="center"/>
    </xf>
    <xf numFmtId="0" fontId="31" fillId="0" borderId="1" xfId="1" applyFont="1" applyBorder="1" applyAlignment="1">
      <alignment vertical="center"/>
    </xf>
    <xf numFmtId="0" fontId="30" fillId="0" borderId="1" xfId="1" applyFont="1" applyBorder="1" applyAlignment="1">
      <alignment vertical="center"/>
    </xf>
    <xf numFmtId="0" fontId="30" fillId="0" borderId="0" xfId="1" applyFont="1" applyAlignment="1">
      <alignment vertical="center"/>
    </xf>
    <xf numFmtId="0" fontId="1" fillId="0" borderId="0" xfId="1" applyAlignment="1">
      <alignment vertical="center"/>
    </xf>
    <xf numFmtId="41" fontId="19" fillId="0" borderId="2" xfId="1" applyNumberFormat="1" applyFont="1" applyBorder="1" applyAlignment="1">
      <alignment horizontal="center" vertical="center"/>
    </xf>
    <xf numFmtId="43" fontId="19" fillId="0" borderId="2" xfId="1" applyNumberFormat="1" applyFont="1" applyBorder="1" applyAlignment="1">
      <alignment horizontal="center" vertical="center"/>
    </xf>
    <xf numFmtId="41" fontId="0" fillId="0" borderId="0" xfId="0" applyNumberFormat="1" applyAlignment="1">
      <alignment horizontal="right" vertical="center"/>
    </xf>
    <xf numFmtId="43" fontId="0" fillId="0" borderId="0" xfId="0" applyNumberFormat="1" applyAlignment="1">
      <alignment horizontal="right" vertical="center"/>
    </xf>
    <xf numFmtId="0" fontId="0" fillId="0" borderId="0" xfId="1" applyFont="1" applyAlignment="1">
      <alignment horizontal="distributed" vertical="center"/>
    </xf>
    <xf numFmtId="0" fontId="17" fillId="0" borderId="0" xfId="1" applyFont="1" applyAlignment="1">
      <alignment horizontal="distributed" vertical="center"/>
    </xf>
    <xf numFmtId="0" fontId="42" fillId="0" borderId="0" xfId="1" applyFont="1" applyAlignment="1">
      <alignment horizontal="distributed" vertical="center"/>
    </xf>
    <xf numFmtId="0" fontId="17" fillId="0" borderId="3" xfId="1" applyFont="1" applyBorder="1" applyAlignment="1">
      <alignment horizontal="distributed" vertical="center"/>
    </xf>
    <xf numFmtId="41" fontId="0" fillId="0" borderId="3" xfId="0" applyNumberFormat="1" applyBorder="1" applyAlignment="1">
      <alignment horizontal="right" vertical="center"/>
    </xf>
    <xf numFmtId="43" fontId="0" fillId="0" borderId="3" xfId="0" applyNumberFormat="1" applyBorder="1" applyAlignment="1">
      <alignment horizontal="right" vertical="center"/>
    </xf>
    <xf numFmtId="43" fontId="17" fillId="0" borderId="0" xfId="1" applyNumberFormat="1" applyFont="1"/>
    <xf numFmtId="0" fontId="19" fillId="0" borderId="0" xfId="1" applyFont="1" applyAlignment="1">
      <alignment horizontal="right" vertical="center"/>
    </xf>
    <xf numFmtId="181" fontId="17" fillId="0" borderId="0" xfId="1" applyNumberFormat="1" applyFont="1" applyAlignment="1">
      <alignment vertical="center"/>
    </xf>
    <xf numFmtId="181" fontId="17" fillId="0" borderId="3" xfId="1" applyNumberFormat="1" applyFont="1" applyBorder="1" applyAlignment="1">
      <alignment vertical="center"/>
    </xf>
    <xf numFmtId="41" fontId="17" fillId="0" borderId="3" xfId="1" applyNumberFormat="1" applyFont="1" applyBorder="1" applyAlignment="1">
      <alignment vertical="center"/>
    </xf>
    <xf numFmtId="0" fontId="17" fillId="0" borderId="2" xfId="1" applyFont="1" applyBorder="1" applyAlignment="1">
      <alignment horizontal="center" vertical="center"/>
    </xf>
    <xf numFmtId="0" fontId="17" fillId="0" borderId="0" xfId="1" applyFont="1" applyAlignment="1">
      <alignment vertical="center"/>
    </xf>
    <xf numFmtId="0" fontId="17" fillId="0" borderId="1" xfId="1" applyFont="1" applyBorder="1" applyAlignment="1">
      <alignment horizontal="center" vertical="center"/>
    </xf>
    <xf numFmtId="0" fontId="17" fillId="0" borderId="0" xfId="1" applyFont="1" applyAlignment="1">
      <alignment horizontal="center" vertical="center"/>
    </xf>
    <xf numFmtId="0" fontId="17" fillId="0" borderId="9" xfId="1" applyFont="1" applyBorder="1" applyAlignment="1">
      <alignment horizontal="center" vertical="center"/>
    </xf>
    <xf numFmtId="0" fontId="28" fillId="0" borderId="2" xfId="0" applyFont="1" applyBorder="1" applyAlignment="1">
      <alignment horizontal="center" vertical="center"/>
    </xf>
    <xf numFmtId="0" fontId="0" fillId="0" borderId="0" xfId="0">
      <alignment vertical="center"/>
    </xf>
    <xf numFmtId="0" fontId="17" fillId="0" borderId="0" xfId="3" applyFont="1" applyBorder="1" applyAlignment="1">
      <alignment horizontal="distributed" vertical="center" wrapText="1"/>
    </xf>
    <xf numFmtId="41" fontId="17" fillId="0" borderId="1" xfId="1" applyNumberFormat="1" applyFont="1" applyBorder="1" applyAlignment="1">
      <alignment horizontal="left" vertical="center"/>
    </xf>
    <xf numFmtId="43" fontId="17" fillId="0" borderId="1" xfId="1" applyNumberFormat="1" applyFont="1" applyBorder="1" applyAlignment="1">
      <alignment horizontal="left" vertical="center"/>
    </xf>
    <xf numFmtId="0" fontId="0" fillId="0" borderId="3" xfId="3" applyFont="1" applyBorder="1" applyAlignment="1">
      <alignment horizontal="distributed" vertical="center" wrapText="1"/>
    </xf>
    <xf numFmtId="0" fontId="35" fillId="0" borderId="0" xfId="3" applyFont="1" applyAlignment="1">
      <alignment horizontal="distributed" vertical="center" wrapText="1"/>
    </xf>
    <xf numFmtId="38" fontId="17" fillId="0" borderId="0" xfId="1" applyNumberFormat="1" applyFont="1" applyBorder="1" applyAlignment="1">
      <alignment horizontal="right" vertical="center"/>
    </xf>
    <xf numFmtId="42" fontId="17" fillId="0" borderId="0" xfId="1" applyNumberFormat="1" applyFont="1" applyBorder="1" applyAlignment="1">
      <alignment horizontal="right" vertical="center"/>
    </xf>
    <xf numFmtId="177" fontId="17" fillId="0" borderId="0" xfId="1" applyNumberFormat="1" applyFont="1" applyBorder="1" applyAlignment="1">
      <alignment horizontal="right" vertical="center"/>
    </xf>
    <xf numFmtId="0" fontId="28" fillId="0" borderId="0" xfId="0" applyFont="1" applyBorder="1">
      <alignment vertical="center"/>
    </xf>
    <xf numFmtId="40" fontId="28" fillId="0" borderId="0" xfId="0" applyNumberFormat="1" applyFont="1" applyBorder="1">
      <alignment vertical="center"/>
    </xf>
    <xf numFmtId="41" fontId="17" fillId="0" borderId="0" xfId="1" applyNumberFormat="1" applyFont="1" applyAlignment="1">
      <alignment horizontal="center" vertical="center"/>
    </xf>
    <xf numFmtId="0" fontId="28" fillId="0" borderId="1" xfId="0" applyFont="1" applyBorder="1" applyAlignment="1">
      <alignment vertical="center"/>
    </xf>
    <xf numFmtId="0" fontId="28" fillId="0" borderId="0" xfId="0" applyFont="1" applyAlignment="1">
      <alignment vertical="center"/>
    </xf>
    <xf numFmtId="2" fontId="28" fillId="0" borderId="0" xfId="0" applyNumberFormat="1" applyFont="1" applyAlignment="1">
      <alignment vertical="center"/>
    </xf>
    <xf numFmtId="0" fontId="28" fillId="0" borderId="8" xfId="0" applyFont="1" applyBorder="1" applyAlignment="1">
      <alignment vertical="center"/>
    </xf>
    <xf numFmtId="2" fontId="28" fillId="0" borderId="8" xfId="0" applyNumberFormat="1" applyFont="1" applyBorder="1" applyAlignment="1">
      <alignment vertical="center"/>
    </xf>
    <xf numFmtId="0" fontId="28" fillId="0" borderId="3" xfId="0" applyFont="1" applyBorder="1" applyAlignment="1">
      <alignment vertical="center"/>
    </xf>
    <xf numFmtId="2" fontId="28" fillId="0" borderId="3" xfId="0" applyNumberFormat="1" applyFont="1" applyBorder="1" applyAlignment="1">
      <alignment vertical="center"/>
    </xf>
    <xf numFmtId="0" fontId="30" fillId="0" borderId="0" xfId="0" applyFont="1">
      <alignment vertical="center"/>
    </xf>
    <xf numFmtId="0" fontId="30" fillId="0" borderId="0" xfId="0" applyFont="1" applyAlignment="1">
      <alignment vertical="top"/>
    </xf>
    <xf numFmtId="2" fontId="28" fillId="0" borderId="3" xfId="0" applyNumberFormat="1" applyFont="1" applyBorder="1" applyAlignment="1">
      <alignment horizontal="right" vertical="center"/>
    </xf>
    <xf numFmtId="0" fontId="28" fillId="0" borderId="0" xfId="0" applyFont="1" applyFill="1">
      <alignment vertical="center"/>
    </xf>
    <xf numFmtId="0" fontId="28" fillId="0" borderId="2" xfId="1" applyFont="1" applyFill="1" applyBorder="1" applyAlignment="1">
      <alignment horizontal="center" vertical="center"/>
    </xf>
    <xf numFmtId="43" fontId="28" fillId="0" borderId="2" xfId="1" applyNumberFormat="1" applyFont="1" applyFill="1" applyBorder="1" applyAlignment="1">
      <alignment horizontal="center" vertical="center"/>
    </xf>
    <xf numFmtId="0" fontId="28" fillId="0" borderId="2" xfId="1" applyFont="1" applyFill="1" applyBorder="1" applyAlignment="1">
      <alignment horizontal="right" vertical="center"/>
    </xf>
    <xf numFmtId="0" fontId="28" fillId="0" borderId="0" xfId="3" applyFont="1" applyFill="1" applyAlignment="1">
      <alignment horizontal="distributed" vertical="center" wrapText="1"/>
    </xf>
    <xf numFmtId="41" fontId="28" fillId="0" borderId="1" xfId="1" applyNumberFormat="1" applyFont="1" applyFill="1" applyBorder="1" applyAlignment="1">
      <alignment horizontal="right" vertical="center"/>
    </xf>
    <xf numFmtId="43" fontId="28" fillId="0" borderId="1" xfId="1" applyNumberFormat="1" applyFont="1" applyFill="1" applyBorder="1" applyAlignment="1">
      <alignment horizontal="right" vertical="center"/>
    </xf>
    <xf numFmtId="41" fontId="28" fillId="0" borderId="0" xfId="1" applyNumberFormat="1" applyFont="1" applyFill="1" applyAlignment="1">
      <alignment horizontal="right" vertical="center"/>
    </xf>
    <xf numFmtId="43" fontId="28" fillId="0" borderId="0" xfId="1" applyNumberFormat="1" applyFont="1" applyFill="1" applyAlignment="1">
      <alignment horizontal="right" vertical="center"/>
    </xf>
    <xf numFmtId="183" fontId="28" fillId="0" borderId="0" xfId="1" applyNumberFormat="1" applyFont="1" applyFill="1" applyAlignment="1">
      <alignment horizontal="right" vertical="center"/>
    </xf>
    <xf numFmtId="41" fontId="28" fillId="0" borderId="0" xfId="1" applyNumberFormat="1" applyFont="1" applyFill="1" applyAlignment="1">
      <alignment horizontal="center" vertical="center"/>
    </xf>
    <xf numFmtId="0" fontId="56" fillId="0" borderId="0" xfId="3" applyFont="1" applyFill="1" applyAlignment="1">
      <alignment horizontal="distributed" vertical="center" wrapText="1"/>
    </xf>
    <xf numFmtId="0" fontId="28" fillId="0" borderId="0" xfId="3" applyFont="1" applyFill="1" applyBorder="1" applyAlignment="1">
      <alignment horizontal="distributed" vertical="center" wrapText="1"/>
    </xf>
    <xf numFmtId="41" fontId="28" fillId="0" borderId="0" xfId="1" applyNumberFormat="1" applyFont="1" applyFill="1" applyBorder="1" applyAlignment="1">
      <alignment horizontal="right" vertical="center"/>
    </xf>
    <xf numFmtId="43" fontId="28" fillId="0" borderId="0" xfId="1" applyNumberFormat="1" applyFont="1" applyFill="1" applyBorder="1" applyAlignment="1">
      <alignment horizontal="right" vertical="center"/>
    </xf>
    <xf numFmtId="183" fontId="28" fillId="0" borderId="0" xfId="1" applyNumberFormat="1" applyFont="1" applyFill="1" applyBorder="1" applyAlignment="1">
      <alignment horizontal="right" vertical="center"/>
    </xf>
    <xf numFmtId="43" fontId="28" fillId="0" borderId="0" xfId="1" applyNumberFormat="1" applyFont="1" applyFill="1" applyAlignment="1">
      <alignment horizontal="center" vertical="center"/>
    </xf>
    <xf numFmtId="0" fontId="28" fillId="0" borderId="3" xfId="3" applyFont="1" applyFill="1" applyBorder="1" applyAlignment="1">
      <alignment horizontal="distributed" vertical="center" wrapText="1"/>
    </xf>
    <xf numFmtId="41" fontId="28" fillId="0" borderId="3" xfId="1" applyNumberFormat="1" applyFont="1" applyFill="1" applyBorder="1" applyAlignment="1">
      <alignment horizontal="right" vertical="center"/>
    </xf>
    <xf numFmtId="43" fontId="28" fillId="0" borderId="3" xfId="1" applyNumberFormat="1" applyFont="1" applyFill="1" applyBorder="1" applyAlignment="1">
      <alignment horizontal="right" vertical="center"/>
    </xf>
    <xf numFmtId="41" fontId="28" fillId="0" borderId="3" xfId="1" applyNumberFormat="1" applyFont="1" applyFill="1" applyBorder="1" applyAlignment="1">
      <alignment horizontal="center" vertical="center"/>
    </xf>
    <xf numFmtId="0" fontId="28" fillId="0" borderId="0" xfId="1" applyFont="1" applyFill="1" applyAlignment="1">
      <alignment vertical="center"/>
    </xf>
    <xf numFmtId="43" fontId="28" fillId="0" borderId="0" xfId="1" applyNumberFormat="1" applyFont="1" applyFill="1" applyAlignment="1">
      <alignment vertical="center"/>
    </xf>
    <xf numFmtId="0" fontId="28" fillId="0" borderId="0" xfId="1" applyFont="1" applyFill="1" applyAlignment="1">
      <alignment horizontal="right" vertical="center"/>
    </xf>
    <xf numFmtId="181" fontId="0" fillId="0" borderId="0" xfId="0" applyNumberFormat="1">
      <alignment vertical="center"/>
    </xf>
    <xf numFmtId="0" fontId="0" fillId="0" borderId="0" xfId="0" applyFill="1">
      <alignment vertical="center"/>
    </xf>
    <xf numFmtId="0" fontId="17" fillId="0" borderId="2" xfId="1" applyFont="1" applyFill="1" applyBorder="1" applyAlignment="1">
      <alignment horizontal="center" vertical="center"/>
    </xf>
    <xf numFmtId="0" fontId="0" fillId="0" borderId="2" xfId="1" applyFont="1" applyFill="1" applyBorder="1" applyAlignment="1">
      <alignment horizontal="center" vertical="center"/>
    </xf>
    <xf numFmtId="0" fontId="17" fillId="0" borderId="0" xfId="3" applyFont="1" applyFill="1" applyAlignment="1">
      <alignment horizontal="distributed" vertical="center" wrapText="1"/>
    </xf>
    <xf numFmtId="180" fontId="17" fillId="0" borderId="0" xfId="1" applyNumberFormat="1" applyFont="1" applyFill="1" applyAlignment="1">
      <alignment horizontal="right" vertical="center"/>
    </xf>
    <xf numFmtId="179" fontId="17" fillId="0" borderId="0" xfId="1" applyNumberFormat="1" applyFont="1" applyFill="1" applyAlignment="1">
      <alignment horizontal="right" vertical="center"/>
    </xf>
    <xf numFmtId="180" fontId="17" fillId="0" borderId="1" xfId="1" applyNumberFormat="1" applyFont="1" applyFill="1" applyBorder="1" applyAlignment="1">
      <alignment horizontal="right" vertical="center"/>
    </xf>
    <xf numFmtId="0" fontId="17" fillId="0" borderId="0" xfId="3" applyFont="1" applyFill="1" applyBorder="1" applyAlignment="1">
      <alignment horizontal="distributed" vertical="center" wrapText="1"/>
    </xf>
    <xf numFmtId="180" fontId="17" fillId="0" borderId="0" xfId="1" applyNumberFormat="1" applyFont="1" applyFill="1" applyBorder="1" applyAlignment="1">
      <alignment horizontal="right" vertical="center"/>
    </xf>
    <xf numFmtId="179" fontId="17" fillId="0" borderId="0" xfId="1" applyNumberFormat="1" applyFont="1" applyFill="1" applyBorder="1" applyAlignment="1">
      <alignment horizontal="right" vertical="center"/>
    </xf>
    <xf numFmtId="0" fontId="17" fillId="0" borderId="8" xfId="3" applyFont="1" applyFill="1" applyBorder="1" applyAlignment="1">
      <alignment horizontal="distributed" vertical="center" wrapText="1"/>
    </xf>
    <xf numFmtId="180" fontId="17" fillId="0" borderId="8" xfId="1" applyNumberFormat="1" applyFont="1" applyFill="1" applyBorder="1" applyAlignment="1">
      <alignment horizontal="right" vertical="center"/>
    </xf>
    <xf numFmtId="179" fontId="17" fillId="0" borderId="8" xfId="1" applyNumberFormat="1" applyFont="1" applyFill="1" applyBorder="1" applyAlignment="1">
      <alignment horizontal="right" vertical="center"/>
    </xf>
    <xf numFmtId="43" fontId="17" fillId="0" borderId="8" xfId="1" applyNumberFormat="1" applyFont="1" applyFill="1" applyBorder="1" applyAlignment="1">
      <alignment horizontal="right" vertical="center"/>
    </xf>
    <xf numFmtId="43" fontId="17" fillId="0" borderId="0" xfId="1" applyNumberFormat="1" applyFont="1" applyFill="1" applyBorder="1" applyAlignment="1">
      <alignment horizontal="right" vertical="center"/>
    </xf>
    <xf numFmtId="0" fontId="17" fillId="0" borderId="3" xfId="3" applyFont="1" applyFill="1" applyBorder="1" applyAlignment="1">
      <alignment horizontal="distributed" vertical="center" wrapText="1"/>
    </xf>
    <xf numFmtId="180" fontId="17" fillId="0" borderId="3" xfId="1" applyNumberFormat="1" applyFont="1" applyFill="1" applyBorder="1" applyAlignment="1">
      <alignment horizontal="right" vertical="center"/>
    </xf>
    <xf numFmtId="43" fontId="17" fillId="0" borderId="3" xfId="1" applyNumberFormat="1" applyFont="1" applyFill="1" applyBorder="1" applyAlignment="1">
      <alignment horizontal="right" vertical="center"/>
    </xf>
    <xf numFmtId="179" fontId="17" fillId="0" borderId="3" xfId="1" applyNumberFormat="1" applyFont="1" applyFill="1" applyBorder="1" applyAlignment="1">
      <alignment horizontal="right" vertical="center"/>
    </xf>
    <xf numFmtId="0" fontId="17" fillId="0" borderId="0" xfId="1" applyFont="1" applyFill="1"/>
    <xf numFmtId="180" fontId="17" fillId="0" borderId="0" xfId="1" applyNumberFormat="1" applyFont="1" applyFill="1"/>
    <xf numFmtId="41" fontId="17" fillId="0" borderId="0" xfId="1" applyNumberFormat="1" applyFont="1" applyFill="1" applyAlignment="1">
      <alignment horizontal="right" vertical="center"/>
    </xf>
    <xf numFmtId="0" fontId="32" fillId="0" borderId="2" xfId="1" applyFont="1" applyFill="1" applyBorder="1" applyAlignment="1">
      <alignment horizontal="center" vertical="center"/>
    </xf>
    <xf numFmtId="41" fontId="17" fillId="0" borderId="1" xfId="1" applyNumberFormat="1" applyFont="1" applyFill="1" applyBorder="1" applyAlignment="1">
      <alignment horizontal="right" vertical="center"/>
    </xf>
    <xf numFmtId="41" fontId="17" fillId="0" borderId="3" xfId="1" applyNumberFormat="1" applyFont="1" applyFill="1" applyBorder="1" applyAlignment="1">
      <alignment horizontal="right" vertical="center"/>
    </xf>
    <xf numFmtId="38" fontId="17" fillId="0" borderId="0" xfId="1" applyNumberFormat="1" applyFont="1" applyBorder="1" applyAlignment="1">
      <alignment horizontal="right" vertical="center" shrinkToFit="1"/>
    </xf>
    <xf numFmtId="0" fontId="17" fillId="0" borderId="3" xfId="4" applyFill="1" applyBorder="1" applyAlignment="1">
      <alignment horizontal="center" vertical="center"/>
    </xf>
    <xf numFmtId="0" fontId="17" fillId="0" borderId="2" xfId="4" applyFill="1" applyBorder="1" applyAlignment="1">
      <alignment horizontal="center" vertical="center"/>
    </xf>
    <xf numFmtId="0" fontId="0" fillId="0" borderId="0" xfId="0" applyFill="1" applyAlignment="1">
      <alignment vertical="center"/>
    </xf>
    <xf numFmtId="41" fontId="17" fillId="0" borderId="0" xfId="4" applyNumberFormat="1" applyFill="1" applyAlignment="1">
      <alignment horizontal="center" vertical="center"/>
    </xf>
    <xf numFmtId="41" fontId="17" fillId="0" borderId="0" xfId="4" applyNumberFormat="1" applyFill="1" applyAlignment="1">
      <alignment horizontal="right" vertical="center"/>
    </xf>
    <xf numFmtId="41" fontId="17" fillId="0" borderId="1" xfId="4" applyNumberFormat="1" applyFill="1" applyBorder="1" applyAlignment="1">
      <alignment horizontal="right" vertical="center"/>
    </xf>
    <xf numFmtId="43" fontId="17" fillId="0" borderId="0" xfId="4" applyNumberFormat="1" applyFill="1" applyAlignment="1">
      <alignment horizontal="center" vertical="center"/>
    </xf>
    <xf numFmtId="43" fontId="17" fillId="0" borderId="0" xfId="4" applyNumberFormat="1" applyFill="1" applyAlignment="1">
      <alignment horizontal="right" vertical="center"/>
    </xf>
    <xf numFmtId="41" fontId="28" fillId="0" borderId="0" xfId="4" applyNumberFormat="1" applyFont="1" applyFill="1" applyAlignment="1">
      <alignment horizontal="center" vertical="center"/>
    </xf>
    <xf numFmtId="41" fontId="28" fillId="0" borderId="0" xfId="4" applyNumberFormat="1" applyFont="1" applyFill="1" applyAlignment="1">
      <alignment horizontal="right" vertical="center"/>
    </xf>
    <xf numFmtId="43" fontId="17" fillId="0" borderId="3" xfId="4" applyNumberFormat="1" applyFill="1" applyBorder="1" applyAlignment="1">
      <alignment horizontal="center" vertical="center"/>
    </xf>
    <xf numFmtId="43" fontId="17" fillId="0" borderId="3" xfId="4" applyNumberFormat="1" applyFill="1" applyBorder="1" applyAlignment="1">
      <alignment horizontal="right" vertical="center"/>
    </xf>
    <xf numFmtId="0" fontId="20" fillId="0" borderId="0" xfId="4" applyFont="1" applyFill="1"/>
    <xf numFmtId="0" fontId="19" fillId="0" borderId="0" xfId="4" applyFont="1" applyFill="1"/>
    <xf numFmtId="185" fontId="19" fillId="0" borderId="0" xfId="4" applyNumberFormat="1" applyFont="1" applyFill="1"/>
    <xf numFmtId="180" fontId="19" fillId="0" borderId="0" xfId="4" applyNumberFormat="1" applyFont="1" applyFill="1"/>
    <xf numFmtId="186" fontId="19" fillId="0" borderId="0" xfId="4" applyNumberFormat="1" applyFont="1" applyFill="1"/>
    <xf numFmtId="0" fontId="17" fillId="0" borderId="0" xfId="4" applyFill="1"/>
    <xf numFmtId="185" fontId="17" fillId="0" borderId="0" xfId="4" applyNumberFormat="1" applyFill="1"/>
    <xf numFmtId="0" fontId="20" fillId="0" borderId="0" xfId="4" applyFont="1" applyFill="1" applyAlignment="1">
      <alignment vertical="center"/>
    </xf>
    <xf numFmtId="0" fontId="19" fillId="0" borderId="0" xfId="4" applyFont="1" applyFill="1" applyAlignment="1">
      <alignment vertical="center"/>
    </xf>
    <xf numFmtId="184" fontId="19" fillId="0" borderId="0" xfId="4" applyNumberFormat="1" applyFont="1" applyFill="1"/>
    <xf numFmtId="181" fontId="17" fillId="0" borderId="0" xfId="4" applyNumberFormat="1" applyFill="1"/>
    <xf numFmtId="0" fontId="19" fillId="0" borderId="0" xfId="4" applyFont="1" applyFill="1" applyAlignment="1">
      <alignment horizontal="center" vertical="center"/>
    </xf>
    <xf numFmtId="0" fontId="17" fillId="0" borderId="0" xfId="4" applyFill="1" applyAlignment="1">
      <alignment horizontal="center" vertical="center"/>
    </xf>
    <xf numFmtId="186" fontId="17" fillId="0" borderId="0" xfId="4" applyNumberFormat="1" applyFill="1" applyAlignment="1">
      <alignment horizontal="right" vertical="center" indent="1"/>
    </xf>
    <xf numFmtId="186" fontId="17" fillId="0" borderId="1" xfId="4" applyNumberFormat="1" applyFill="1" applyBorder="1" applyAlignment="1">
      <alignment horizontal="right" vertical="center" indent="1"/>
    </xf>
    <xf numFmtId="187" fontId="17" fillId="0" borderId="0" xfId="4" applyNumberFormat="1" applyFill="1" applyAlignment="1">
      <alignment horizontal="right" vertical="center" indent="1"/>
    </xf>
    <xf numFmtId="187" fontId="17" fillId="0" borderId="3" xfId="4" applyNumberFormat="1" applyFill="1" applyBorder="1" applyAlignment="1">
      <alignment horizontal="right" vertical="center" indent="1"/>
    </xf>
    <xf numFmtId="43" fontId="17" fillId="0" borderId="0" xfId="4" applyNumberFormat="1" applyBorder="1" applyAlignment="1">
      <alignment horizontal="center" vertical="center"/>
    </xf>
    <xf numFmtId="43" fontId="17" fillId="0" borderId="0" xfId="4" applyNumberFormat="1" applyBorder="1" applyAlignment="1">
      <alignment horizontal="right" vertical="center"/>
    </xf>
    <xf numFmtId="41" fontId="17" fillId="0" borderId="0" xfId="4" applyNumberFormat="1" applyBorder="1" applyAlignment="1">
      <alignment horizontal="right" vertical="center"/>
    </xf>
    <xf numFmtId="41" fontId="17" fillId="0" borderId="0" xfId="4" applyNumberFormat="1" applyBorder="1" applyAlignment="1">
      <alignment horizontal="center" vertical="center" wrapText="1"/>
    </xf>
    <xf numFmtId="0" fontId="17" fillId="0" borderId="0" xfId="4" applyFill="1" applyAlignment="1">
      <alignment horizontal="distributed" vertical="distributed"/>
    </xf>
    <xf numFmtId="0" fontId="17" fillId="0" borderId="3" xfId="4" applyFill="1" applyBorder="1" applyAlignment="1">
      <alignment horizontal="distributed" vertical="center"/>
    </xf>
    <xf numFmtId="41" fontId="17" fillId="0" borderId="3" xfId="4" applyNumberFormat="1" applyFill="1" applyBorder="1" applyAlignment="1">
      <alignment horizontal="right" vertical="center"/>
    </xf>
    <xf numFmtId="184" fontId="0" fillId="0" borderId="0" xfId="0" applyNumberFormat="1">
      <alignment vertical="center"/>
    </xf>
    <xf numFmtId="41" fontId="17" fillId="0" borderId="0" xfId="9" applyNumberFormat="1" applyFont="1" applyAlignment="1">
      <alignment horizontal="right" vertical="center"/>
    </xf>
    <xf numFmtId="0" fontId="28" fillId="0" borderId="0" xfId="10" applyFont="1">
      <alignment vertical="center"/>
    </xf>
    <xf numFmtId="0" fontId="61" fillId="2" borderId="0" xfId="11" applyFont="1" applyFill="1" applyAlignment="1">
      <alignment horizontal="center" vertical="center"/>
    </xf>
    <xf numFmtId="0" fontId="28" fillId="0" borderId="2" xfId="1" applyFont="1" applyFill="1" applyBorder="1" applyAlignment="1">
      <alignment horizontal="center" vertical="center"/>
    </xf>
    <xf numFmtId="0" fontId="28" fillId="0" borderId="0" xfId="10" applyFont="1" applyAlignment="1">
      <alignment horizontal="left" vertical="center"/>
    </xf>
    <xf numFmtId="0" fontId="53" fillId="3" borderId="0" xfId="10" applyFont="1" applyFill="1" applyAlignment="1">
      <alignment horizontal="center" vertical="center"/>
    </xf>
    <xf numFmtId="0" fontId="53" fillId="0" borderId="0" xfId="10" applyFont="1" applyAlignment="1">
      <alignment vertical="center"/>
    </xf>
    <xf numFmtId="0" fontId="64" fillId="3" borderId="0" xfId="11" quotePrefix="1" applyFont="1" applyFill="1" applyAlignment="1">
      <alignment vertical="center"/>
    </xf>
    <xf numFmtId="0" fontId="66" fillId="0" borderId="0" xfId="11" quotePrefix="1" applyFont="1" applyAlignment="1">
      <alignment vertical="center"/>
    </xf>
    <xf numFmtId="0" fontId="64" fillId="3" borderId="0" xfId="11" applyFont="1" applyFill="1" applyAlignment="1">
      <alignment vertical="center"/>
    </xf>
    <xf numFmtId="0" fontId="66" fillId="0" borderId="0" xfId="11" applyFont="1" applyAlignment="1">
      <alignment vertical="center"/>
    </xf>
    <xf numFmtId="0" fontId="64" fillId="3" borderId="0" xfId="11" applyFont="1" applyFill="1" applyAlignment="1">
      <alignment horizontal="left" vertical="center"/>
    </xf>
    <xf numFmtId="0" fontId="66" fillId="0" borderId="0" xfId="11" applyFont="1" applyAlignment="1">
      <alignment horizontal="left" vertical="center"/>
    </xf>
    <xf numFmtId="0" fontId="39" fillId="0" borderId="2" xfId="1" applyFont="1" applyFill="1" applyBorder="1" applyAlignment="1">
      <alignment horizontal="center" vertical="center"/>
    </xf>
    <xf numFmtId="0" fontId="29" fillId="0" borderId="0" xfId="3" applyFont="1" applyFill="1" applyAlignment="1">
      <alignment horizontal="distributed" vertical="center" wrapText="1"/>
    </xf>
    <xf numFmtId="179" fontId="28" fillId="0" borderId="0" xfId="1" applyNumberFormat="1" applyFont="1" applyFill="1" applyAlignment="1">
      <alignment horizontal="right" vertical="center"/>
    </xf>
    <xf numFmtId="2" fontId="28" fillId="0" borderId="0" xfId="0" applyNumberFormat="1" applyFont="1" applyFill="1">
      <alignment vertical="center"/>
    </xf>
    <xf numFmtId="178" fontId="28" fillId="0" borderId="0" xfId="0" applyNumberFormat="1" applyFont="1" applyFill="1">
      <alignment vertical="center"/>
    </xf>
    <xf numFmtId="0" fontId="29" fillId="0" borderId="3" xfId="3" applyFont="1" applyFill="1" applyBorder="1" applyAlignment="1">
      <alignment horizontal="distributed" vertical="center" wrapText="1"/>
    </xf>
    <xf numFmtId="179" fontId="28" fillId="0" borderId="3" xfId="1" applyNumberFormat="1" applyFont="1" applyFill="1" applyBorder="1" applyAlignment="1">
      <alignment horizontal="right" vertical="center"/>
    </xf>
    <xf numFmtId="178" fontId="28" fillId="0" borderId="3" xfId="0" applyNumberFormat="1" applyFont="1" applyFill="1" applyBorder="1">
      <alignment vertical="center"/>
    </xf>
    <xf numFmtId="180" fontId="28" fillId="0" borderId="0" xfId="1" applyNumberFormat="1" applyFont="1" applyFill="1" applyAlignment="1">
      <alignment vertical="center"/>
    </xf>
    <xf numFmtId="0" fontId="64" fillId="3" borderId="0" xfId="11" applyFont="1" applyFill="1" applyAlignment="1">
      <alignment horizontal="left" vertical="center"/>
    </xf>
    <xf numFmtId="0" fontId="53" fillId="3" borderId="0" xfId="10" applyFont="1" applyFill="1" applyAlignment="1">
      <alignment horizontal="center" vertical="center"/>
    </xf>
    <xf numFmtId="0" fontId="64" fillId="3" borderId="0" xfId="11" quotePrefix="1" applyFont="1" applyFill="1" applyAlignment="1">
      <alignment horizontal="left" vertical="center"/>
    </xf>
    <xf numFmtId="0" fontId="30" fillId="0" borderId="0" xfId="1" applyFont="1" applyAlignment="1">
      <alignment horizontal="left" vertical="center" wrapText="1"/>
    </xf>
    <xf numFmtId="0" fontId="30" fillId="0" borderId="0" xfId="1" applyFont="1" applyAlignment="1">
      <alignment horizontal="left" vertical="center"/>
    </xf>
    <xf numFmtId="0" fontId="26" fillId="0" borderId="0" xfId="1" applyFont="1" applyAlignment="1">
      <alignment horizontal="center" vertical="center"/>
    </xf>
    <xf numFmtId="0" fontId="30" fillId="0" borderId="3" xfId="1" applyFont="1" applyBorder="1" applyAlignment="1">
      <alignment horizontal="right" vertical="center"/>
    </xf>
    <xf numFmtId="0" fontId="28" fillId="0" borderId="1" xfId="1" applyFont="1" applyBorder="1" applyAlignment="1">
      <alignment horizontal="center" vertical="center"/>
    </xf>
    <xf numFmtId="0" fontId="28" fillId="0" borderId="0" xfId="1" applyFont="1" applyAlignment="1">
      <alignment horizontal="center" vertical="center"/>
    </xf>
    <xf numFmtId="0" fontId="28" fillId="0" borderId="2" xfId="1" applyFont="1" applyBorder="1" applyAlignment="1">
      <alignment horizontal="distributed" vertical="center" indent="2"/>
    </xf>
    <xf numFmtId="0" fontId="17" fillId="0" borderId="2" xfId="1" applyFont="1" applyBorder="1" applyAlignment="1">
      <alignment horizontal="center" vertical="center"/>
    </xf>
    <xf numFmtId="0" fontId="42" fillId="0" borderId="0" xfId="1" applyFont="1" applyAlignment="1">
      <alignment horizontal="left" vertical="center"/>
    </xf>
    <xf numFmtId="0" fontId="4" fillId="0" borderId="3" xfId="1" applyFont="1" applyBorder="1" applyAlignment="1">
      <alignment horizontal="center" vertical="center"/>
    </xf>
    <xf numFmtId="0" fontId="6" fillId="0" borderId="3" xfId="1" applyFont="1" applyBorder="1" applyAlignment="1">
      <alignment horizontal="center" vertical="center"/>
    </xf>
    <xf numFmtId="0" fontId="7" fillId="0" borderId="0" xfId="1" applyFont="1" applyAlignment="1">
      <alignment horizontal="center" vertical="center"/>
    </xf>
    <xf numFmtId="0" fontId="8" fillId="0" borderId="0" xfId="1" applyFont="1"/>
    <xf numFmtId="0" fontId="7" fillId="0" borderId="0" xfId="1" applyFont="1" applyAlignment="1">
      <alignment horizontal="center" vertical="center" textRotation="255" shrinkToFit="1"/>
    </xf>
    <xf numFmtId="0" fontId="7" fillId="0" borderId="3" xfId="1" applyFont="1" applyBorder="1" applyAlignment="1">
      <alignment horizontal="center" vertical="center" textRotation="255" shrinkToFit="1"/>
    </xf>
    <xf numFmtId="0" fontId="8" fillId="0" borderId="0" xfId="1" applyFont="1" applyAlignment="1">
      <alignment horizontal="center"/>
    </xf>
    <xf numFmtId="42" fontId="8" fillId="0" borderId="0" xfId="1" applyNumberFormat="1" applyFont="1" applyAlignment="1">
      <alignment horizontal="right"/>
    </xf>
    <xf numFmtId="42" fontId="8" fillId="0" borderId="3" xfId="1" applyNumberFormat="1" applyFont="1" applyBorder="1" applyAlignment="1">
      <alignment horizontal="right"/>
    </xf>
    <xf numFmtId="0" fontId="7" fillId="0" borderId="0" xfId="1" applyFont="1" applyAlignment="1">
      <alignment horizontal="center"/>
    </xf>
    <xf numFmtId="42" fontId="10" fillId="0" borderId="0" xfId="1" applyNumberFormat="1" applyFont="1" applyAlignment="1">
      <alignment horizontal="right"/>
    </xf>
    <xf numFmtId="0" fontId="7" fillId="0" borderId="1" xfId="1" applyFont="1" applyBorder="1" applyAlignment="1">
      <alignment horizontal="center" vertical="center" textRotation="255"/>
    </xf>
    <xf numFmtId="0" fontId="8" fillId="0" borderId="0" xfId="1" applyFont="1" applyAlignment="1">
      <alignment horizontal="center" vertical="center" textRotation="255"/>
    </xf>
    <xf numFmtId="0" fontId="8" fillId="0" borderId="3" xfId="1" applyFont="1" applyBorder="1" applyAlignment="1">
      <alignment horizontal="center" vertical="center" textRotation="255"/>
    </xf>
    <xf numFmtId="0" fontId="9" fillId="0" borderId="1" xfId="1" applyFont="1" applyBorder="1" applyAlignment="1">
      <alignment horizontal="left"/>
    </xf>
    <xf numFmtId="0" fontId="8" fillId="0" borderId="1" xfId="1" applyFont="1" applyBorder="1" applyAlignment="1">
      <alignment horizontal="left"/>
    </xf>
    <xf numFmtId="0" fontId="8" fillId="0" borderId="0" xfId="1" applyFont="1" applyAlignment="1">
      <alignment horizontal="left"/>
    </xf>
    <xf numFmtId="0" fontId="7" fillId="0" borderId="0" xfId="1" applyFont="1" applyAlignment="1">
      <alignment horizontal="left"/>
    </xf>
    <xf numFmtId="42" fontId="10" fillId="0" borderId="0" xfId="1" applyNumberFormat="1" applyFont="1" applyAlignment="1">
      <alignment horizontal="right" vertical="center"/>
    </xf>
    <xf numFmtId="42" fontId="8" fillId="0" borderId="0" xfId="1" applyNumberFormat="1" applyFont="1" applyAlignment="1">
      <alignment horizontal="right" vertical="center"/>
    </xf>
    <xf numFmtId="0" fontId="9" fillId="0" borderId="0" xfId="1" applyFont="1" applyAlignment="1">
      <alignment horizontal="left"/>
    </xf>
    <xf numFmtId="0" fontId="14" fillId="0" borderId="0" xfId="1" applyFont="1" applyAlignment="1">
      <alignment horizontal="left" vertical="center"/>
    </xf>
    <xf numFmtId="0" fontId="13" fillId="0" borderId="0" xfId="1" applyFont="1" applyAlignment="1">
      <alignment horizontal="left" vertical="center"/>
    </xf>
    <xf numFmtId="0" fontId="7" fillId="0" borderId="0" xfId="1" applyFont="1"/>
    <xf numFmtId="0" fontId="7" fillId="0" borderId="3" xfId="1" applyFont="1" applyBorder="1"/>
    <xf numFmtId="0" fontId="8" fillId="0" borderId="3" xfId="1" applyFont="1" applyBorder="1"/>
    <xf numFmtId="0" fontId="8" fillId="0" borderId="3" xfId="1" applyFont="1" applyBorder="1" applyAlignment="1">
      <alignment horizontal="center"/>
    </xf>
    <xf numFmtId="0" fontId="15" fillId="0" borderId="0" xfId="1" applyFont="1" applyAlignment="1">
      <alignment horizontal="center" vertical="center"/>
    </xf>
    <xf numFmtId="0" fontId="17" fillId="0" borderId="1" xfId="1" applyFont="1" applyBorder="1" applyAlignment="1">
      <alignment horizontal="center" vertical="center" textRotation="255"/>
    </xf>
    <xf numFmtId="0" fontId="17" fillId="0" borderId="0" xfId="1" applyFont="1" applyAlignment="1">
      <alignment horizontal="center" vertical="center" textRotation="255"/>
    </xf>
    <xf numFmtId="0" fontId="17" fillId="0" borderId="1" xfId="1" applyFont="1" applyBorder="1" applyAlignment="1">
      <alignment horizontal="center" vertical="distributed" textRotation="255" indent="1"/>
    </xf>
    <xf numFmtId="0" fontId="17" fillId="0" borderId="0" xfId="1" applyFont="1" applyAlignment="1">
      <alignment horizontal="center" vertical="distributed" textRotation="255" indent="1"/>
    </xf>
    <xf numFmtId="0" fontId="17" fillId="0" borderId="3" xfId="1" applyFont="1" applyBorder="1" applyAlignment="1">
      <alignment horizontal="center" vertical="distributed" textRotation="255" indent="1"/>
    </xf>
    <xf numFmtId="0" fontId="0" fillId="0" borderId="2" xfId="1" applyFont="1" applyBorder="1" applyAlignment="1">
      <alignment horizontal="distributed" vertical="center" indent="2"/>
    </xf>
    <xf numFmtId="0" fontId="17" fillId="0" borderId="2" xfId="1" applyFont="1" applyBorder="1" applyAlignment="1">
      <alignment horizontal="distributed" vertical="center" indent="2"/>
    </xf>
    <xf numFmtId="0" fontId="0" fillId="0" borderId="1" xfId="1" applyFont="1" applyBorder="1" applyAlignment="1">
      <alignment horizontal="center" vertical="distributed" textRotation="255" indent="1"/>
    </xf>
    <xf numFmtId="0" fontId="21" fillId="0" borderId="0" xfId="1" applyFont="1" applyAlignment="1">
      <alignment horizontal="left" vertical="center"/>
    </xf>
    <xf numFmtId="0" fontId="19" fillId="0" borderId="0" xfId="1" applyFont="1" applyAlignment="1">
      <alignment horizontal="left" vertical="center"/>
    </xf>
    <xf numFmtId="0" fontId="1" fillId="0" borderId="0" xfId="1" applyAlignment="1">
      <alignment horizontal="left" vertical="center"/>
    </xf>
    <xf numFmtId="0" fontId="17" fillId="0" borderId="0" xfId="1" applyFont="1" applyAlignment="1">
      <alignment horizontal="left" indent="3"/>
    </xf>
    <xf numFmtId="44" fontId="17" fillId="0" borderId="0" xfId="1" applyNumberFormat="1" applyFont="1" applyAlignment="1">
      <alignment horizontal="right" vertical="center"/>
    </xf>
    <xf numFmtId="44" fontId="17" fillId="0" borderId="3" xfId="1" applyNumberFormat="1" applyFont="1" applyBorder="1" applyAlignment="1">
      <alignment horizontal="right" vertical="center"/>
    </xf>
    <xf numFmtId="0" fontId="24" fillId="0" borderId="3" xfId="1" applyFont="1" applyBorder="1" applyAlignment="1">
      <alignment horizontal="left" indent="3"/>
    </xf>
    <xf numFmtId="0" fontId="17" fillId="0" borderId="3" xfId="1" applyFont="1" applyBorder="1" applyAlignment="1">
      <alignment horizontal="center" vertical="center" textRotation="255"/>
    </xf>
    <xf numFmtId="0" fontId="17" fillId="0" borderId="1" xfId="1" applyFont="1" applyBorder="1" applyAlignment="1">
      <alignment horizontal="left" indent="1"/>
    </xf>
    <xf numFmtId="44" fontId="1" fillId="0" borderId="0" xfId="1" applyNumberFormat="1" applyAlignment="1">
      <alignment horizontal="right" vertical="center"/>
    </xf>
    <xf numFmtId="0" fontId="17" fillId="0" borderId="0" xfId="1" applyFont="1" applyAlignment="1">
      <alignment horizontal="left" vertical="center" indent="5"/>
    </xf>
    <xf numFmtId="0" fontId="22" fillId="0" borderId="3" xfId="1" applyFont="1" applyBorder="1" applyAlignment="1">
      <alignment horizontal="center" vertical="center"/>
    </xf>
    <xf numFmtId="0" fontId="0" fillId="0" borderId="0" xfId="1" applyFont="1" applyAlignment="1">
      <alignment horizontal="left" vertical="center" indent="3"/>
    </xf>
    <xf numFmtId="0" fontId="0" fillId="0" borderId="0" xfId="1" applyFont="1" applyAlignment="1">
      <alignment horizontal="left" vertical="center" indent="5"/>
    </xf>
    <xf numFmtId="44" fontId="0" fillId="0" borderId="0" xfId="1" applyNumberFormat="1" applyFont="1" applyAlignment="1">
      <alignment horizontal="right" vertical="center"/>
    </xf>
    <xf numFmtId="0" fontId="29" fillId="0" borderId="2" xfId="1" applyFont="1" applyBorder="1" applyAlignment="1">
      <alignment horizontal="distributed" vertical="center" indent="2"/>
    </xf>
    <xf numFmtId="0" fontId="29" fillId="0" borderId="13" xfId="1" applyFont="1" applyBorder="1" applyAlignment="1">
      <alignment horizontal="distributed" vertical="center" indent="2"/>
    </xf>
    <xf numFmtId="0" fontId="29" fillId="0" borderId="1" xfId="1" applyFont="1" applyBorder="1" applyAlignment="1">
      <alignment horizontal="distributed" vertical="center" indent="2"/>
    </xf>
    <xf numFmtId="0" fontId="29" fillId="0" borderId="4" xfId="1" applyFont="1" applyBorder="1" applyAlignment="1">
      <alignment horizontal="distributed" indent="2"/>
    </xf>
    <xf numFmtId="0" fontId="29" fillId="0" borderId="3" xfId="1" applyFont="1" applyBorder="1" applyAlignment="1">
      <alignment horizontal="distributed" indent="2"/>
    </xf>
    <xf numFmtId="0" fontId="29" fillId="0" borderId="14" xfId="1" applyFont="1" applyBorder="1" applyAlignment="1">
      <alignment horizontal="distributed" vertical="center" indent="2"/>
    </xf>
    <xf numFmtId="0" fontId="29" fillId="0" borderId="1" xfId="1" applyFont="1" applyBorder="1" applyAlignment="1">
      <alignment horizontal="center" vertical="center"/>
    </xf>
    <xf numFmtId="0" fontId="29" fillId="0" borderId="3" xfId="1" applyFont="1" applyBorder="1" applyAlignment="1">
      <alignment horizontal="center" vertical="center"/>
    </xf>
    <xf numFmtId="0" fontId="29" fillId="0" borderId="6" xfId="1" applyFont="1" applyBorder="1" applyAlignment="1">
      <alignment horizontal="distributed" vertical="center" indent="2"/>
    </xf>
    <xf numFmtId="0" fontId="30" fillId="0" borderId="1" xfId="1" applyFont="1" applyBorder="1" applyAlignment="1">
      <alignment horizontal="left" vertical="center" wrapText="1"/>
    </xf>
    <xf numFmtId="0" fontId="45" fillId="0" borderId="0" xfId="1" applyFont="1" applyAlignment="1">
      <alignment horizontal="left" vertical="top" wrapText="1"/>
    </xf>
    <xf numFmtId="0" fontId="30" fillId="0" borderId="0" xfId="1" applyFont="1" applyAlignment="1">
      <alignment horizontal="left" vertical="top" wrapText="1"/>
    </xf>
    <xf numFmtId="0" fontId="29" fillId="0" borderId="5" xfId="1" applyFont="1" applyBorder="1" applyAlignment="1">
      <alignment horizontal="center" vertical="center"/>
    </xf>
    <xf numFmtId="0" fontId="29" fillId="0" borderId="15" xfId="1" applyFont="1" applyBorder="1" applyAlignment="1">
      <alignment horizontal="center" vertical="center"/>
    </xf>
    <xf numFmtId="0" fontId="26" fillId="0" borderId="3" xfId="1" applyFont="1" applyBorder="1" applyAlignment="1">
      <alignment horizontal="center" vertical="center"/>
    </xf>
    <xf numFmtId="0" fontId="19" fillId="0" borderId="0" xfId="1" applyFont="1" applyAlignment="1">
      <alignment horizontal="left" vertical="top" wrapText="1"/>
    </xf>
    <xf numFmtId="0" fontId="19" fillId="0" borderId="0" xfId="1" applyFont="1" applyAlignment="1">
      <alignment vertical="center"/>
    </xf>
    <xf numFmtId="0" fontId="17" fillId="0" borderId="0" xfId="1" applyFont="1" applyAlignment="1">
      <alignment vertical="center"/>
    </xf>
    <xf numFmtId="0" fontId="17" fillId="0" borderId="10" xfId="1" applyFont="1" applyBorder="1" applyAlignment="1">
      <alignment horizontal="center" vertical="center"/>
    </xf>
    <xf numFmtId="0" fontId="17" fillId="0" borderId="3" xfId="1" applyFont="1" applyBorder="1" applyAlignment="1">
      <alignment horizontal="center" vertical="center"/>
    </xf>
    <xf numFmtId="0" fontId="0" fillId="0" borderId="3" xfId="0" applyBorder="1" applyAlignment="1">
      <alignment horizontal="center" vertical="center"/>
    </xf>
    <xf numFmtId="0" fontId="0" fillId="0" borderId="2" xfId="0" applyBorder="1" applyAlignment="1">
      <alignment horizontal="center" vertical="center"/>
    </xf>
    <xf numFmtId="0" fontId="0" fillId="0" borderId="10" xfId="0" applyBorder="1" applyAlignment="1">
      <alignment horizontal="center" vertical="center"/>
    </xf>
    <xf numFmtId="0" fontId="30" fillId="0" borderId="0" xfId="3" applyFont="1" applyFill="1" applyAlignment="1">
      <alignment horizontal="left" vertical="center" wrapText="1"/>
    </xf>
    <xf numFmtId="0" fontId="30" fillId="0" borderId="0" xfId="1" applyFont="1" applyFill="1" applyAlignment="1">
      <alignment horizontal="left" vertical="top" wrapText="1"/>
    </xf>
    <xf numFmtId="0" fontId="26" fillId="0" borderId="0" xfId="1" applyFont="1" applyFill="1" applyAlignment="1">
      <alignment horizontal="center" vertical="center"/>
    </xf>
    <xf numFmtId="0" fontId="28" fillId="0" borderId="1" xfId="1" applyFont="1" applyFill="1" applyBorder="1" applyAlignment="1">
      <alignment horizontal="center" vertical="center"/>
    </xf>
    <xf numFmtId="0" fontId="28" fillId="0" borderId="0" xfId="1" applyFont="1" applyFill="1" applyAlignment="1">
      <alignment horizontal="center" vertical="center"/>
    </xf>
    <xf numFmtId="0" fontId="28" fillId="0" borderId="2" xfId="1" applyFont="1" applyFill="1" applyBorder="1" applyAlignment="1">
      <alignment horizontal="center" vertical="center"/>
    </xf>
    <xf numFmtId="0" fontId="28" fillId="0" borderId="2" xfId="1" applyFont="1" applyFill="1" applyBorder="1" applyAlignment="1">
      <alignment horizontal="center" vertical="center" shrinkToFit="1"/>
    </xf>
    <xf numFmtId="0" fontId="28" fillId="0" borderId="2" xfId="1" applyFont="1" applyBorder="1" applyAlignment="1">
      <alignment horizontal="center" vertical="center"/>
    </xf>
    <xf numFmtId="0" fontId="28" fillId="0" borderId="3" xfId="1" applyFont="1" applyBorder="1" applyAlignment="1">
      <alignment horizontal="center" vertical="center"/>
    </xf>
    <xf numFmtId="0" fontId="17" fillId="0" borderId="1" xfId="1" applyFont="1" applyBorder="1" applyAlignment="1">
      <alignment horizontal="center" vertical="center"/>
    </xf>
    <xf numFmtId="0" fontId="17" fillId="0" borderId="0" xfId="1" applyFont="1" applyAlignment="1">
      <alignment horizontal="center" vertical="center"/>
    </xf>
    <xf numFmtId="0" fontId="19" fillId="0" borderId="0" xfId="1" applyFont="1" applyAlignment="1">
      <alignment horizontal="left" vertical="top"/>
    </xf>
    <xf numFmtId="0" fontId="17" fillId="0" borderId="12" xfId="1" applyFont="1" applyBorder="1" applyAlignment="1">
      <alignment horizontal="center" vertical="center"/>
    </xf>
    <xf numFmtId="0" fontId="0" fillId="0" borderId="12" xfId="0" applyBorder="1" applyAlignment="1">
      <alignment horizontal="center" vertical="center"/>
    </xf>
    <xf numFmtId="0" fontId="20" fillId="0" borderId="0" xfId="1" applyFont="1" applyAlignment="1">
      <alignment horizontal="left" vertical="top" wrapText="1"/>
    </xf>
    <xf numFmtId="0" fontId="20" fillId="0" borderId="0" xfId="1" applyFont="1" applyAlignment="1">
      <alignment horizontal="left" vertical="top"/>
    </xf>
    <xf numFmtId="0" fontId="15" fillId="0" borderId="3" xfId="1" applyFont="1" applyBorder="1" applyAlignment="1">
      <alignment horizontal="center" vertical="center"/>
    </xf>
    <xf numFmtId="0" fontId="0" fillId="0" borderId="2" xfId="1" applyFont="1" applyBorder="1" applyAlignment="1">
      <alignment horizontal="center" vertical="center"/>
    </xf>
    <xf numFmtId="0" fontId="17" fillId="0" borderId="2" xfId="1" applyFont="1" applyBorder="1" applyAlignment="1">
      <alignment horizontal="center" vertical="center" shrinkToFit="1"/>
    </xf>
    <xf numFmtId="0" fontId="20" fillId="0" borderId="0" xfId="1" applyFont="1" applyAlignment="1">
      <alignment vertical="top" wrapText="1"/>
    </xf>
    <xf numFmtId="0" fontId="17" fillId="0" borderId="1" xfId="1" applyFont="1" applyFill="1" applyBorder="1" applyAlignment="1">
      <alignment horizontal="center" vertical="center"/>
    </xf>
    <xf numFmtId="0" fontId="17" fillId="0" borderId="0" xfId="1" applyFont="1" applyFill="1" applyAlignment="1">
      <alignment horizontal="center" vertical="center"/>
    </xf>
    <xf numFmtId="0" fontId="17" fillId="0" borderId="2" xfId="1" applyFont="1" applyFill="1" applyBorder="1" applyAlignment="1">
      <alignment horizontal="center" vertical="center"/>
    </xf>
    <xf numFmtId="0" fontId="17" fillId="0" borderId="3" xfId="1" applyFont="1" applyFill="1" applyBorder="1" applyAlignment="1">
      <alignment horizontal="center" vertical="center"/>
    </xf>
    <xf numFmtId="0" fontId="17" fillId="0" borderId="10" xfId="1" applyFont="1" applyFill="1" applyBorder="1" applyAlignment="1">
      <alignment horizontal="center" vertical="center"/>
    </xf>
    <xf numFmtId="0" fontId="19" fillId="0" borderId="1" xfId="1" applyFont="1" applyFill="1" applyBorder="1" applyAlignment="1">
      <alignment horizontal="left" vertical="center"/>
    </xf>
    <xf numFmtId="0" fontId="20" fillId="0" borderId="0" xfId="1" applyFont="1" applyFill="1" applyAlignment="1">
      <alignment horizontal="left" vertical="top"/>
    </xf>
    <xf numFmtId="0" fontId="19" fillId="0" borderId="0" xfId="1" applyFont="1" applyFill="1" applyAlignment="1">
      <alignment horizontal="left" vertical="top"/>
    </xf>
    <xf numFmtId="0" fontId="17" fillId="0" borderId="9" xfId="1" applyFont="1" applyFill="1" applyBorder="1" applyAlignment="1">
      <alignment horizontal="center" vertical="center"/>
    </xf>
    <xf numFmtId="0" fontId="19" fillId="0" borderId="0" xfId="1" applyFont="1" applyAlignment="1">
      <alignment horizontal="left" vertical="center" wrapText="1"/>
    </xf>
    <xf numFmtId="0" fontId="0" fillId="0" borderId="0" xfId="0" applyAlignment="1">
      <alignment horizontal="center" vertical="center"/>
    </xf>
    <xf numFmtId="0" fontId="28" fillId="0" borderId="10" xfId="0" applyFont="1" applyBorder="1" applyAlignment="1">
      <alignment horizontal="center" vertical="center"/>
    </xf>
    <xf numFmtId="0" fontId="38" fillId="0" borderId="3" xfId="0" applyFont="1" applyBorder="1" applyAlignment="1">
      <alignment horizontal="center" vertical="center"/>
    </xf>
    <xf numFmtId="0" fontId="28" fillId="0" borderId="2" xfId="0" applyFont="1" applyBorder="1" applyAlignment="1">
      <alignment horizontal="center" vertical="center"/>
    </xf>
    <xf numFmtId="0" fontId="19" fillId="0" borderId="1" xfId="1" applyFont="1" applyBorder="1" applyAlignment="1">
      <alignment horizontal="left"/>
    </xf>
    <xf numFmtId="0" fontId="19" fillId="0" borderId="0" xfId="1" applyFont="1" applyAlignment="1">
      <alignment horizontal="left"/>
    </xf>
    <xf numFmtId="0" fontId="28" fillId="0" borderId="3" xfId="1" applyFont="1" applyFill="1" applyBorder="1" applyAlignment="1">
      <alignment horizontal="center" vertical="center"/>
    </xf>
    <xf numFmtId="0" fontId="30" fillId="0" borderId="0" xfId="1" applyFont="1" applyFill="1" applyAlignment="1">
      <alignment horizontal="left" vertical="center"/>
    </xf>
    <xf numFmtId="0" fontId="31" fillId="0" borderId="0" xfId="1" applyFont="1" applyFill="1" applyAlignment="1">
      <alignment horizontal="left" vertical="top" wrapText="1"/>
    </xf>
    <xf numFmtId="0" fontId="30" fillId="0" borderId="0" xfId="1" applyFont="1" applyFill="1" applyAlignment="1">
      <alignment horizontal="left" vertical="top"/>
    </xf>
    <xf numFmtId="0" fontId="0" fillId="0" borderId="2" xfId="0" applyFill="1" applyBorder="1" applyAlignment="1">
      <alignment horizontal="center" vertical="center"/>
    </xf>
    <xf numFmtId="0" fontId="28" fillId="0" borderId="10" xfId="1" applyFont="1" applyFill="1" applyBorder="1" applyAlignment="1">
      <alignment horizontal="center" vertical="center"/>
    </xf>
    <xf numFmtId="0" fontId="0" fillId="0" borderId="10" xfId="0" applyFill="1" applyBorder="1" applyAlignment="1">
      <alignment horizontal="center" vertical="center"/>
    </xf>
    <xf numFmtId="0" fontId="28" fillId="0" borderId="10" xfId="0" applyFont="1" applyFill="1" applyBorder="1" applyAlignment="1">
      <alignment horizontal="center" vertical="center"/>
    </xf>
    <xf numFmtId="0" fontId="29" fillId="0" borderId="9" xfId="1" applyFont="1" applyFill="1" applyBorder="1" applyAlignment="1">
      <alignment horizontal="center" vertical="center"/>
    </xf>
    <xf numFmtId="0" fontId="29" fillId="0" borderId="0" xfId="1" applyFont="1" applyFill="1" applyAlignment="1">
      <alignment horizontal="center" vertical="center"/>
    </xf>
    <xf numFmtId="0" fontId="0" fillId="0" borderId="3" xfId="0" applyFill="1" applyBorder="1" applyAlignment="1">
      <alignment horizontal="center" vertical="center"/>
    </xf>
    <xf numFmtId="0" fontId="19" fillId="0" borderId="1" xfId="1" applyFont="1" applyBorder="1" applyAlignment="1">
      <alignment vertical="center"/>
    </xf>
    <xf numFmtId="0" fontId="0" fillId="0" borderId="0" xfId="0">
      <alignment vertical="center"/>
    </xf>
    <xf numFmtId="0" fontId="28" fillId="0" borderId="10" xfId="1" applyFont="1" applyBorder="1" applyAlignment="1">
      <alignment horizontal="center" vertical="center"/>
    </xf>
    <xf numFmtId="0" fontId="19" fillId="0" borderId="1" xfId="1" applyFont="1" applyFill="1" applyBorder="1" applyAlignment="1">
      <alignment horizontal="left" vertical="center" wrapText="1"/>
    </xf>
    <xf numFmtId="0" fontId="26" fillId="0" borderId="3" xfId="1" applyFont="1" applyFill="1" applyBorder="1" applyAlignment="1">
      <alignment horizontal="center" vertical="center"/>
    </xf>
    <xf numFmtId="0" fontId="28" fillId="0" borderId="3" xfId="1" applyFont="1" applyBorder="1" applyAlignment="1">
      <alignment horizontal="center" vertical="center" wrapText="1"/>
    </xf>
    <xf numFmtId="0" fontId="19" fillId="0" borderId="1" xfId="1" applyFont="1" applyBorder="1" applyAlignment="1">
      <alignment vertical="center" wrapText="1"/>
    </xf>
    <xf numFmtId="0" fontId="19" fillId="0" borderId="0" xfId="1" applyFont="1" applyAlignment="1">
      <alignment vertical="center" wrapText="1"/>
    </xf>
    <xf numFmtId="0" fontId="17" fillId="0" borderId="0" xfId="1" applyFont="1" applyAlignment="1">
      <alignment vertical="center" wrapText="1"/>
    </xf>
    <xf numFmtId="0" fontId="19" fillId="0" borderId="1" xfId="1" applyFont="1" applyBorder="1" applyAlignment="1">
      <alignment horizontal="left" vertical="center" wrapText="1"/>
    </xf>
    <xf numFmtId="0" fontId="19" fillId="0" borderId="0" xfId="1" applyFont="1" applyBorder="1" applyAlignment="1">
      <alignment horizontal="left" vertical="center" wrapText="1"/>
    </xf>
    <xf numFmtId="0" fontId="15" fillId="0" borderId="3" xfId="4" applyFont="1" applyBorder="1" applyAlignment="1">
      <alignment horizontal="center" vertical="center"/>
    </xf>
    <xf numFmtId="38" fontId="17" fillId="0" borderId="1" xfId="4" applyNumberFormat="1" applyBorder="1" applyAlignment="1">
      <alignment horizontal="center" vertical="distributed"/>
    </xf>
    <xf numFmtId="0" fontId="17" fillId="0" borderId="1" xfId="4" applyBorder="1" applyAlignment="1">
      <alignment horizontal="center" vertical="distributed"/>
    </xf>
    <xf numFmtId="0" fontId="42" fillId="0" borderId="0" xfId="4" applyFont="1" applyAlignment="1">
      <alignment horizontal="center" vertical="distributed" textRotation="255" indent="2"/>
    </xf>
    <xf numFmtId="0" fontId="42" fillId="0" borderId="0" xfId="4" applyFont="1" applyAlignment="1">
      <alignment horizontal="center" vertical="distributed"/>
    </xf>
    <xf numFmtId="0" fontId="17" fillId="0" borderId="0" xfId="4" applyAlignment="1">
      <alignment horizontal="center" vertical="distributed"/>
    </xf>
    <xf numFmtId="0" fontId="17" fillId="0" borderId="0" xfId="4" applyAlignment="1">
      <alignment horizontal="center" vertical="center"/>
    </xf>
    <xf numFmtId="0" fontId="0" fillId="0" borderId="0" xfId="4" applyFont="1" applyAlignment="1">
      <alignment horizontal="center" vertical="distributed" textRotation="255" indent="2"/>
    </xf>
    <xf numFmtId="0" fontId="0" fillId="0" borderId="0" xfId="4" applyFont="1" applyAlignment="1">
      <alignment horizontal="center" vertical="distributed"/>
    </xf>
    <xf numFmtId="0" fontId="17" fillId="0" borderId="0" xfId="4" applyAlignment="1">
      <alignment horizontal="center" vertical="distributed" textRotation="255" indent="2"/>
    </xf>
    <xf numFmtId="0" fontId="17" fillId="0" borderId="3" xfId="4" applyBorder="1" applyAlignment="1">
      <alignment horizontal="center" vertical="distributed" textRotation="255" indent="2"/>
    </xf>
    <xf numFmtId="0" fontId="17" fillId="0" borderId="3" xfId="4" applyBorder="1" applyAlignment="1">
      <alignment horizontal="center" vertical="center"/>
    </xf>
    <xf numFmtId="0" fontId="26" fillId="0" borderId="0" xfId="4" applyFont="1" applyFill="1" applyAlignment="1">
      <alignment horizontal="center" vertical="center"/>
    </xf>
    <xf numFmtId="0" fontId="17" fillId="0" borderId="1" xfId="4" applyFill="1" applyBorder="1" applyAlignment="1">
      <alignment horizontal="distributed" vertical="distributed"/>
    </xf>
    <xf numFmtId="0" fontId="17" fillId="0" borderId="0" xfId="4" applyFill="1" applyAlignment="1">
      <alignment horizontal="distributed" vertical="distributed"/>
    </xf>
    <xf numFmtId="0" fontId="17" fillId="0" borderId="2" xfId="4" applyFill="1" applyBorder="1" applyAlignment="1">
      <alignment horizontal="center" vertical="center"/>
    </xf>
    <xf numFmtId="0" fontId="17" fillId="0" borderId="3" xfId="4" applyFill="1" applyBorder="1" applyAlignment="1">
      <alignment horizontal="distributed" vertical="distributed"/>
    </xf>
    <xf numFmtId="0" fontId="26" fillId="0" borderId="3" xfId="4" applyFont="1" applyFill="1" applyBorder="1" applyAlignment="1">
      <alignment horizontal="center" vertical="center"/>
    </xf>
    <xf numFmtId="0" fontId="17" fillId="0" borderId="1" xfId="4" applyFill="1" applyBorder="1" applyAlignment="1">
      <alignment horizontal="distributed" vertical="center"/>
    </xf>
    <xf numFmtId="0" fontId="17" fillId="0" borderId="0" xfId="4" applyFill="1" applyAlignment="1">
      <alignment horizontal="distributed" vertical="center"/>
    </xf>
    <xf numFmtId="0" fontId="17" fillId="0" borderId="2" xfId="4" applyFill="1" applyBorder="1" applyAlignment="1">
      <alignment horizontal="center" vertical="center" wrapText="1"/>
    </xf>
    <xf numFmtId="0" fontId="28" fillId="0" borderId="0" xfId="4" applyFont="1" applyFill="1" applyAlignment="1">
      <alignment horizontal="distributed" vertical="center" wrapText="1"/>
    </xf>
    <xf numFmtId="0" fontId="28" fillId="0" borderId="0" xfId="4" applyFont="1" applyFill="1" applyAlignment="1">
      <alignment horizontal="distributed" vertical="center"/>
    </xf>
    <xf numFmtId="0" fontId="26" fillId="0" borderId="0" xfId="4" applyFont="1" applyFill="1" applyAlignment="1">
      <alignment vertical="center"/>
    </xf>
    <xf numFmtId="0" fontId="17" fillId="0" borderId="3" xfId="4" applyFill="1" applyBorder="1" applyAlignment="1">
      <alignment horizontal="distributed" vertical="center"/>
    </xf>
    <xf numFmtId="0" fontId="17" fillId="0" borderId="0" xfId="4" applyAlignment="1">
      <alignment horizontal="distributed" vertical="distributed"/>
    </xf>
    <xf numFmtId="0" fontId="17" fillId="0" borderId="3" xfId="4" applyBorder="1" applyAlignment="1">
      <alignment horizontal="distributed" vertical="distributed"/>
    </xf>
    <xf numFmtId="0" fontId="24" fillId="0" borderId="0" xfId="4" applyFont="1" applyAlignment="1">
      <alignment horizontal="left" vertical="top" wrapText="1"/>
    </xf>
    <xf numFmtId="0" fontId="24" fillId="0" borderId="0" xfId="4" applyFont="1" applyAlignment="1">
      <alignment horizontal="left" vertical="top"/>
    </xf>
    <xf numFmtId="0" fontId="15" fillId="0" borderId="0" xfId="4" applyFont="1" applyAlignment="1">
      <alignment horizontal="center" vertical="center"/>
    </xf>
    <xf numFmtId="0" fontId="15" fillId="0" borderId="0" xfId="4" applyFont="1"/>
    <xf numFmtId="0" fontId="17" fillId="0" borderId="1" xfId="4" applyBorder="1" applyAlignment="1">
      <alignment horizontal="distributed" vertical="distributed"/>
    </xf>
    <xf numFmtId="0" fontId="17" fillId="0" borderId="2" xfId="4" applyBorder="1" applyAlignment="1">
      <alignment horizontal="center" vertical="center"/>
    </xf>
    <xf numFmtId="0" fontId="17" fillId="0" borderId="0" xfId="4" applyBorder="1" applyAlignment="1">
      <alignment horizontal="distributed" vertical="center" wrapText="1"/>
    </xf>
    <xf numFmtId="0" fontId="17" fillId="0" borderId="3" xfId="4" applyBorder="1" applyAlignment="1">
      <alignment horizontal="distributed"/>
    </xf>
    <xf numFmtId="0" fontId="17" fillId="0" borderId="0" xfId="4" applyAlignment="1">
      <alignment horizontal="distributed" vertical="center" wrapText="1"/>
    </xf>
    <xf numFmtId="0" fontId="17" fillId="0" borderId="0" xfId="4" applyBorder="1" applyAlignment="1">
      <alignment horizontal="distributed"/>
    </xf>
    <xf numFmtId="0" fontId="19" fillId="0" borderId="0" xfId="4" applyFont="1" applyAlignment="1">
      <alignment vertical="center"/>
    </xf>
    <xf numFmtId="0" fontId="19" fillId="0" borderId="0" xfId="4" applyFont="1" applyAlignment="1">
      <alignment horizontal="left" vertical="center" wrapText="1"/>
    </xf>
    <xf numFmtId="0" fontId="17" fillId="0" borderId="0" xfId="4" applyAlignment="1">
      <alignment horizontal="distributed"/>
    </xf>
    <xf numFmtId="0" fontId="19" fillId="0" borderId="0" xfId="4" applyFont="1"/>
    <xf numFmtId="0" fontId="19" fillId="0" borderId="0" xfId="4" applyFont="1" applyAlignment="1">
      <alignment horizontal="left" wrapText="1"/>
    </xf>
    <xf numFmtId="0" fontId="19" fillId="0" borderId="0" xfId="4" applyFont="1" applyAlignment="1">
      <alignment horizontal="left"/>
    </xf>
    <xf numFmtId="0" fontId="19" fillId="0" borderId="0" xfId="4" applyFont="1" applyFill="1" applyAlignment="1">
      <alignment horizontal="left" wrapText="1"/>
    </xf>
    <xf numFmtId="0" fontId="15" fillId="0" borderId="3" xfId="4" applyFont="1" applyFill="1" applyBorder="1" applyAlignment="1">
      <alignment horizontal="center" vertical="center"/>
    </xf>
    <xf numFmtId="0" fontId="26" fillId="0" borderId="0" xfId="4" applyFont="1" applyAlignment="1">
      <alignment horizontal="center" vertical="center"/>
    </xf>
    <xf numFmtId="0" fontId="26" fillId="0" borderId="0" xfId="4" applyFont="1"/>
    <xf numFmtId="0" fontId="17" fillId="0" borderId="0" xfId="4" applyAlignment="1">
      <alignment horizontal="left" vertical="distributed"/>
    </xf>
    <xf numFmtId="0" fontId="17" fillId="0" borderId="0" xfId="4" applyAlignment="1">
      <alignment horizontal="left" vertical="center"/>
    </xf>
    <xf numFmtId="0" fontId="17" fillId="0" borderId="3" xfId="4" applyBorder="1" applyAlignment="1">
      <alignment horizontal="left" vertical="center"/>
    </xf>
    <xf numFmtId="0" fontId="28" fillId="0" borderId="13" xfId="0" applyFont="1" applyBorder="1" applyAlignment="1">
      <alignment horizontal="center" vertical="center"/>
    </xf>
    <xf numFmtId="0" fontId="28" fillId="0" borderId="1" xfId="0" applyFont="1" applyBorder="1" applyAlignment="1">
      <alignment horizontal="center" vertical="center"/>
    </xf>
    <xf numFmtId="0" fontId="28" fillId="0" borderId="5" xfId="0" applyFont="1" applyBorder="1" applyAlignment="1">
      <alignment horizontal="center" vertical="center"/>
    </xf>
    <xf numFmtId="0" fontId="28" fillId="0" borderId="4" xfId="0" applyFont="1" applyBorder="1" applyAlignment="1">
      <alignment horizontal="center" vertical="center"/>
    </xf>
    <xf numFmtId="0" fontId="28" fillId="0" borderId="3" xfId="0" applyFont="1" applyBorder="1" applyAlignment="1">
      <alignment horizontal="center" vertical="center"/>
    </xf>
    <xf numFmtId="0" fontId="28" fillId="0" borderId="15" xfId="0" applyFont="1" applyBorder="1" applyAlignment="1">
      <alignment horizontal="center" vertical="center"/>
    </xf>
    <xf numFmtId="0" fontId="28" fillId="0" borderId="0" xfId="0" applyFont="1" applyAlignment="1">
      <alignment horizontal="center" vertical="center" wrapText="1"/>
    </xf>
    <xf numFmtId="0" fontId="28" fillId="0" borderId="17" xfId="0" applyFont="1" applyBorder="1">
      <alignment vertical="center"/>
    </xf>
    <xf numFmtId="0" fontId="28" fillId="0" borderId="1" xfId="0" applyFont="1" applyBorder="1">
      <alignment vertical="center"/>
    </xf>
    <xf numFmtId="0" fontId="28" fillId="0" borderId="17" xfId="0" applyFont="1" applyBorder="1" applyAlignment="1">
      <alignment horizontal="center" vertical="center"/>
    </xf>
    <xf numFmtId="0" fontId="28" fillId="0" borderId="3" xfId="0" applyFont="1" applyBorder="1" applyAlignment="1">
      <alignment horizontal="center" vertical="center" wrapText="1"/>
    </xf>
    <xf numFmtId="0" fontId="28" fillId="0" borderId="18" xfId="0" applyFont="1" applyBorder="1">
      <alignment vertical="center"/>
    </xf>
    <xf numFmtId="0" fontId="28" fillId="0" borderId="18" xfId="0" applyFont="1" applyBorder="1" applyAlignment="1">
      <alignment horizontal="center" vertical="center"/>
    </xf>
    <xf numFmtId="0" fontId="28" fillId="0" borderId="19" xfId="0" applyFont="1" applyBorder="1">
      <alignment vertical="center"/>
    </xf>
    <xf numFmtId="0" fontId="28" fillId="0" borderId="20" xfId="0" applyFont="1" applyBorder="1">
      <alignment vertical="center"/>
    </xf>
    <xf numFmtId="0" fontId="28" fillId="0" borderId="9" xfId="0" applyFont="1" applyBorder="1">
      <alignment vertical="center"/>
    </xf>
    <xf numFmtId="0" fontId="28" fillId="0" borderId="21" xfId="0" applyFont="1" applyBorder="1">
      <alignment vertical="center"/>
    </xf>
    <xf numFmtId="0" fontId="28" fillId="0" borderId="0" xfId="0" applyFont="1" applyBorder="1" applyAlignment="1">
      <alignment horizontal="center" vertical="center"/>
    </xf>
    <xf numFmtId="0" fontId="28" fillId="0" borderId="1" xfId="0" applyFont="1" applyBorder="1" applyAlignment="1">
      <alignment horizontal="center" vertical="center"/>
    </xf>
    <xf numFmtId="0" fontId="28" fillId="0" borderId="22" xfId="0" applyFont="1" applyBorder="1">
      <alignment vertical="center"/>
    </xf>
    <xf numFmtId="0" fontId="28" fillId="0" borderId="23" xfId="0" applyFont="1" applyBorder="1" applyAlignment="1">
      <alignment horizontal="center" vertical="center"/>
    </xf>
    <xf numFmtId="0" fontId="53" fillId="0" borderId="0" xfId="0" applyFont="1" applyAlignment="1">
      <alignment vertical="center"/>
    </xf>
    <xf numFmtId="0" fontId="28" fillId="0" borderId="6"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4" xfId="0" applyFont="1" applyBorder="1" applyAlignment="1">
      <alignment horizontal="center" vertical="center"/>
    </xf>
    <xf numFmtId="0" fontId="53" fillId="0" borderId="1" xfId="0" applyFont="1" applyBorder="1" applyAlignment="1">
      <alignment horizontal="center" vertical="center" wrapText="1"/>
    </xf>
    <xf numFmtId="0" fontId="28" fillId="0" borderId="17" xfId="0" applyFont="1" applyBorder="1" applyAlignment="1">
      <alignment horizontal="center" vertical="center" wrapText="1"/>
    </xf>
    <xf numFmtId="0" fontId="53" fillId="0" borderId="3" xfId="0" applyFont="1" applyBorder="1" applyAlignment="1">
      <alignment vertical="center"/>
    </xf>
    <xf numFmtId="0" fontId="28" fillId="0" borderId="24" xfId="0" applyFont="1" applyBorder="1" applyAlignment="1">
      <alignment vertical="center" wrapText="1"/>
    </xf>
    <xf numFmtId="0" fontId="28" fillId="0" borderId="25" xfId="0" applyFont="1" applyBorder="1" applyAlignment="1">
      <alignment vertical="center" wrapText="1"/>
    </xf>
    <xf numFmtId="0" fontId="28" fillId="0" borderId="9" xfId="0" applyFont="1" applyBorder="1" applyAlignment="1">
      <alignment vertical="center" wrapText="1"/>
    </xf>
    <xf numFmtId="0" fontId="28" fillId="0" borderId="13" xfId="0" applyFont="1" applyBorder="1" applyAlignment="1">
      <alignment horizontal="center" vertical="center" wrapText="1"/>
    </xf>
    <xf numFmtId="0" fontId="28" fillId="0" borderId="0" xfId="0" applyFont="1" applyBorder="1" applyAlignment="1">
      <alignment vertical="center" wrapText="1"/>
    </xf>
    <xf numFmtId="0" fontId="28" fillId="0" borderId="5" xfId="0" applyFont="1" applyBorder="1" applyAlignment="1">
      <alignment horizontal="center" vertical="center" wrapText="1"/>
    </xf>
    <xf numFmtId="0" fontId="28" fillId="0" borderId="26" xfId="0" applyFont="1" applyBorder="1">
      <alignment vertical="center"/>
    </xf>
    <xf numFmtId="0" fontId="28" fillId="0" borderId="8" xfId="0" applyFont="1" applyBorder="1">
      <alignment vertical="center"/>
    </xf>
    <xf numFmtId="0" fontId="28" fillId="0" borderId="4" xfId="0" applyFont="1" applyBorder="1" applyAlignment="1">
      <alignment horizontal="center" vertical="center" wrapText="1"/>
    </xf>
    <xf numFmtId="0" fontId="28" fillId="0" borderId="15" xfId="0" applyFont="1" applyBorder="1" applyAlignment="1">
      <alignment horizontal="center" vertical="center" wrapText="1"/>
    </xf>
    <xf numFmtId="0" fontId="28" fillId="0" borderId="27" xfId="0" applyFont="1" applyBorder="1">
      <alignment vertical="center"/>
    </xf>
    <xf numFmtId="0" fontId="28" fillId="0" borderId="0" xfId="0" applyFont="1" applyBorder="1" applyAlignment="1">
      <alignment horizontal="center" vertical="center" wrapText="1"/>
    </xf>
    <xf numFmtId="0" fontId="53" fillId="0" borderId="28" xfId="0" applyFont="1" applyBorder="1" applyAlignment="1">
      <alignment horizontal="left" vertical="center"/>
    </xf>
    <xf numFmtId="0" fontId="53" fillId="0" borderId="8" xfId="0" applyFont="1" applyBorder="1" applyAlignment="1">
      <alignment horizontal="left" vertical="center"/>
    </xf>
    <xf numFmtId="0" fontId="28" fillId="0" borderId="24" xfId="0" applyFont="1" applyBorder="1">
      <alignment vertical="center"/>
    </xf>
    <xf numFmtId="0" fontId="53" fillId="0" borderId="29" xfId="0" applyFont="1" applyBorder="1" applyAlignment="1">
      <alignment vertical="center"/>
    </xf>
    <xf numFmtId="0" fontId="53" fillId="0" borderId="10" xfId="0" applyFont="1" applyBorder="1" applyAlignment="1">
      <alignment vertical="center"/>
    </xf>
    <xf numFmtId="0" fontId="28" fillId="0" borderId="23" xfId="0" applyFont="1" applyBorder="1">
      <alignment vertical="center"/>
    </xf>
    <xf numFmtId="0" fontId="28" fillId="0" borderId="1" xfId="0" applyFont="1" applyBorder="1" applyAlignment="1">
      <alignment horizontal="center" vertical="center" wrapText="1"/>
    </xf>
    <xf numFmtId="0" fontId="28" fillId="0" borderId="21" xfId="0" applyFont="1" applyBorder="1" applyAlignment="1">
      <alignment vertical="center"/>
    </xf>
    <xf numFmtId="0" fontId="28" fillId="0" borderId="23" xfId="0" applyFont="1" applyBorder="1" applyAlignment="1">
      <alignment vertical="center"/>
    </xf>
    <xf numFmtId="0" fontId="28" fillId="0" borderId="7" xfId="0" applyFont="1" applyBorder="1">
      <alignment vertical="center"/>
    </xf>
    <xf numFmtId="0" fontId="28" fillId="0" borderId="17" xfId="0" applyFont="1" applyBorder="1" applyAlignment="1">
      <alignment horizontal="center" vertical="center"/>
    </xf>
    <xf numFmtId="0" fontId="28" fillId="0" borderId="29" xfId="0" applyFont="1" applyBorder="1">
      <alignment vertical="center"/>
    </xf>
    <xf numFmtId="0" fontId="28" fillId="0" borderId="18" xfId="0" applyFont="1" applyBorder="1" applyAlignment="1">
      <alignment vertical="center"/>
    </xf>
    <xf numFmtId="0" fontId="28" fillId="0" borderId="0" xfId="0" applyFont="1" applyAlignment="1">
      <alignment horizontal="center" vertical="center"/>
    </xf>
    <xf numFmtId="0" fontId="28" fillId="0" borderId="7" xfId="0" applyFont="1" applyBorder="1" applyAlignment="1">
      <alignment horizontal="center" vertical="center"/>
    </xf>
    <xf numFmtId="0" fontId="28" fillId="0" borderId="30" xfId="0" applyFont="1" applyBorder="1">
      <alignment vertical="center"/>
    </xf>
    <xf numFmtId="0" fontId="68" fillId="0" borderId="16" xfId="0" applyFont="1" applyBorder="1" applyAlignment="1">
      <alignment horizontal="center" vertical="center"/>
    </xf>
    <xf numFmtId="0" fontId="68" fillId="0" borderId="0" xfId="0" applyFont="1" applyAlignment="1">
      <alignment horizontal="center" vertical="center"/>
    </xf>
    <xf numFmtId="0" fontId="28" fillId="0" borderId="31" xfId="0" applyFont="1" applyBorder="1">
      <alignment vertical="center"/>
    </xf>
    <xf numFmtId="0" fontId="28" fillId="0" borderId="32" xfId="0" applyFont="1" applyBorder="1">
      <alignment vertical="center"/>
    </xf>
    <xf numFmtId="0" fontId="28" fillId="0" borderId="16" xfId="0" applyFont="1" applyBorder="1" applyAlignment="1">
      <alignment horizontal="center" vertical="center" wrapText="1"/>
    </xf>
    <xf numFmtId="0" fontId="28" fillId="0" borderId="7" xfId="0" applyFont="1" applyBorder="1" applyAlignment="1">
      <alignment horizontal="center" vertical="center" wrapText="1"/>
    </xf>
    <xf numFmtId="0" fontId="53" fillId="0" borderId="13" xfId="0" applyFont="1" applyBorder="1" applyAlignment="1">
      <alignment horizontal="center" vertical="center" wrapText="1"/>
    </xf>
    <xf numFmtId="0" fontId="53" fillId="0" borderId="5" xfId="0" applyFont="1" applyBorder="1" applyAlignment="1">
      <alignment horizontal="center" vertical="center" wrapText="1"/>
    </xf>
    <xf numFmtId="0" fontId="53" fillId="0" borderId="4" xfId="0" applyFont="1" applyBorder="1" applyAlignment="1">
      <alignment horizontal="center" vertical="center" wrapText="1"/>
    </xf>
    <xf numFmtId="0" fontId="53" fillId="0" borderId="3" xfId="0" applyFont="1" applyBorder="1" applyAlignment="1">
      <alignment horizontal="center" vertical="center" wrapText="1"/>
    </xf>
    <xf numFmtId="0" fontId="53" fillId="0" borderId="15" xfId="0" applyFont="1" applyBorder="1" applyAlignment="1">
      <alignment horizontal="center" vertical="center" wrapText="1"/>
    </xf>
    <xf numFmtId="0" fontId="71" fillId="0" borderId="0" xfId="0" applyFont="1" applyAlignment="1">
      <alignment horizontal="left" vertical="center" wrapText="1"/>
    </xf>
    <xf numFmtId="0" fontId="61" fillId="2" borderId="0" xfId="11" applyFont="1" applyFill="1" applyAlignment="1">
      <alignment horizontal="center" vertical="center"/>
    </xf>
    <xf numFmtId="0" fontId="64" fillId="0" borderId="0" xfId="11" quotePrefix="1" applyFont="1" applyAlignment="1">
      <alignment horizontal="left" vertical="center"/>
    </xf>
    <xf numFmtId="0" fontId="72" fillId="3" borderId="0" xfId="11" applyFont="1" applyFill="1" applyAlignment="1">
      <alignment horizontal="left" vertical="center"/>
    </xf>
  </cellXfs>
  <cellStyles count="12">
    <cellStyle name="一般" xfId="0" builtinId="0"/>
    <cellStyle name="一般 10" xfId="7"/>
    <cellStyle name="一般 2" xfId="10"/>
    <cellStyle name="一般 2 3" xfId="3"/>
    <cellStyle name="一般 2 4" xfId="1"/>
    <cellStyle name="一般 4 2 2 2" xfId="6"/>
    <cellStyle name="一般_95年終部長重要指標簡短(矯正)" xfId="8"/>
    <cellStyle name="一般_表1-1-1-表1-3-4" xfId="9"/>
    <cellStyle name="一般_表4-3-5~16少輔" xfId="4"/>
    <cellStyle name="千分位 8" xfId="2"/>
    <cellStyle name="千分位[0]_表4-3-5~16少輔" xfId="5"/>
    <cellStyle name="超連結" xfId="11" builtin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calcChain" Target="calcChain.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haredStrings" Target="sharedStrings.xml"/><Relationship Id="rId20" Type="http://schemas.openxmlformats.org/officeDocument/2006/relationships/worksheet" Target="worksheets/sheet20.xml"/><Relationship Id="rId41" Type="http://schemas.openxmlformats.org/officeDocument/2006/relationships/worksheet" Target="worksheets/sheet41.xml"/></Relationships>
</file>

<file path=xl/drawings/drawing1.xml><?xml version="1.0" encoding="utf-8"?>
<xdr:wsDr xmlns:xdr="http://schemas.openxmlformats.org/drawingml/2006/spreadsheetDrawing" xmlns:a="http://schemas.openxmlformats.org/drawingml/2006/main">
  <xdr:twoCellAnchor>
    <xdr:from>
      <xdr:col>5</xdr:col>
      <xdr:colOff>570138</xdr:colOff>
      <xdr:row>4</xdr:row>
      <xdr:rowOff>76200</xdr:rowOff>
    </xdr:from>
    <xdr:to>
      <xdr:col>6</xdr:col>
      <xdr:colOff>115660</xdr:colOff>
      <xdr:row>4</xdr:row>
      <xdr:rowOff>190500</xdr:rowOff>
    </xdr:to>
    <xdr:sp macro="" textlink="">
      <xdr:nvSpPr>
        <xdr:cNvPr id="2" name="等腰三角形 1"/>
        <xdr:cNvSpPr/>
      </xdr:nvSpPr>
      <xdr:spPr>
        <a:xfrm rot="10800000">
          <a:off x="3741963" y="885825"/>
          <a:ext cx="231322" cy="11430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clientData/>
  </xdr:twoCellAnchor>
  <xdr:twoCellAnchor>
    <xdr:from>
      <xdr:col>10</xdr:col>
      <xdr:colOff>572861</xdr:colOff>
      <xdr:row>4</xdr:row>
      <xdr:rowOff>92530</xdr:rowOff>
    </xdr:from>
    <xdr:to>
      <xdr:col>11</xdr:col>
      <xdr:colOff>118382</xdr:colOff>
      <xdr:row>5</xdr:row>
      <xdr:rowOff>9527</xdr:rowOff>
    </xdr:to>
    <xdr:sp macro="" textlink="">
      <xdr:nvSpPr>
        <xdr:cNvPr id="3" name="等腰三角形 2"/>
        <xdr:cNvSpPr/>
      </xdr:nvSpPr>
      <xdr:spPr>
        <a:xfrm rot="10800000">
          <a:off x="7173686" y="902155"/>
          <a:ext cx="231321" cy="117022"/>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clientData/>
  </xdr:twoCellAnchor>
  <xdr:twoCellAnchor>
    <xdr:from>
      <xdr:col>6</xdr:col>
      <xdr:colOff>577623</xdr:colOff>
      <xdr:row>5</xdr:row>
      <xdr:rowOff>94573</xdr:rowOff>
    </xdr:from>
    <xdr:to>
      <xdr:col>7</xdr:col>
      <xdr:colOff>4762</xdr:colOff>
      <xdr:row>6</xdr:row>
      <xdr:rowOff>116344</xdr:rowOff>
    </xdr:to>
    <xdr:sp macro="" textlink="">
      <xdr:nvSpPr>
        <xdr:cNvPr id="4" name="等腰三角形 3"/>
        <xdr:cNvSpPr/>
      </xdr:nvSpPr>
      <xdr:spPr>
        <a:xfrm rot="5239388">
          <a:off x="4376057" y="1163414"/>
          <a:ext cx="231321" cy="11293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clientData/>
  </xdr:twoCellAnchor>
  <xdr:twoCellAnchor>
    <xdr:from>
      <xdr:col>8</xdr:col>
      <xdr:colOff>572860</xdr:colOff>
      <xdr:row>8</xdr:row>
      <xdr:rowOff>92530</xdr:rowOff>
    </xdr:from>
    <xdr:to>
      <xdr:col>9</xdr:col>
      <xdr:colOff>118381</xdr:colOff>
      <xdr:row>9</xdr:row>
      <xdr:rowOff>9526</xdr:rowOff>
    </xdr:to>
    <xdr:sp macro="" textlink="">
      <xdr:nvSpPr>
        <xdr:cNvPr id="5" name="等腰三角形 4"/>
        <xdr:cNvSpPr/>
      </xdr:nvSpPr>
      <xdr:spPr>
        <a:xfrm rot="10800000">
          <a:off x="5802085" y="1711780"/>
          <a:ext cx="231321" cy="117021"/>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clientData/>
  </xdr:twoCellAnchor>
  <xdr:twoCellAnchor>
    <xdr:from>
      <xdr:col>8</xdr:col>
      <xdr:colOff>575582</xdr:colOff>
      <xdr:row>11</xdr:row>
      <xdr:rowOff>95251</xdr:rowOff>
    </xdr:from>
    <xdr:to>
      <xdr:col>9</xdr:col>
      <xdr:colOff>121103</xdr:colOff>
      <xdr:row>11</xdr:row>
      <xdr:rowOff>209551</xdr:rowOff>
    </xdr:to>
    <xdr:sp macro="" textlink="">
      <xdr:nvSpPr>
        <xdr:cNvPr id="6" name="等腰三角形 5"/>
        <xdr:cNvSpPr/>
      </xdr:nvSpPr>
      <xdr:spPr>
        <a:xfrm rot="10800000">
          <a:off x="5804807" y="2857501"/>
          <a:ext cx="231321" cy="11430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clientData/>
  </xdr:twoCellAnchor>
  <xdr:twoCellAnchor>
    <xdr:from>
      <xdr:col>6</xdr:col>
      <xdr:colOff>571500</xdr:colOff>
      <xdr:row>11</xdr:row>
      <xdr:rowOff>97972</xdr:rowOff>
    </xdr:from>
    <xdr:to>
      <xdr:col>7</xdr:col>
      <xdr:colOff>117021</xdr:colOff>
      <xdr:row>12</xdr:row>
      <xdr:rowOff>1361</xdr:rowOff>
    </xdr:to>
    <xdr:sp macro="" textlink="">
      <xdr:nvSpPr>
        <xdr:cNvPr id="7" name="等腰三角形 6"/>
        <xdr:cNvSpPr/>
      </xdr:nvSpPr>
      <xdr:spPr>
        <a:xfrm rot="10800000">
          <a:off x="4429125" y="2860222"/>
          <a:ext cx="231321" cy="11293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clientData/>
  </xdr:twoCellAnchor>
  <xdr:twoCellAnchor>
    <xdr:from>
      <xdr:col>11</xdr:col>
      <xdr:colOff>574221</xdr:colOff>
      <xdr:row>11</xdr:row>
      <xdr:rowOff>93890</xdr:rowOff>
    </xdr:from>
    <xdr:to>
      <xdr:col>12</xdr:col>
      <xdr:colOff>119742</xdr:colOff>
      <xdr:row>11</xdr:row>
      <xdr:rowOff>208190</xdr:rowOff>
    </xdr:to>
    <xdr:sp macro="" textlink="">
      <xdr:nvSpPr>
        <xdr:cNvPr id="8" name="等腰三角形 7"/>
        <xdr:cNvSpPr/>
      </xdr:nvSpPr>
      <xdr:spPr>
        <a:xfrm rot="10800000">
          <a:off x="7860846" y="2856140"/>
          <a:ext cx="231321" cy="11430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clientData/>
  </xdr:twoCellAnchor>
  <xdr:twoCellAnchor>
    <xdr:from>
      <xdr:col>8</xdr:col>
      <xdr:colOff>571500</xdr:colOff>
      <xdr:row>15</xdr:row>
      <xdr:rowOff>84364</xdr:rowOff>
    </xdr:from>
    <xdr:to>
      <xdr:col>9</xdr:col>
      <xdr:colOff>117021</xdr:colOff>
      <xdr:row>16</xdr:row>
      <xdr:rowOff>1361</xdr:rowOff>
    </xdr:to>
    <xdr:sp macro="" textlink="">
      <xdr:nvSpPr>
        <xdr:cNvPr id="9" name="等腰三角形 8"/>
        <xdr:cNvSpPr/>
      </xdr:nvSpPr>
      <xdr:spPr>
        <a:xfrm rot="10800000">
          <a:off x="5800725" y="3770539"/>
          <a:ext cx="231321" cy="117022"/>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clientData/>
  </xdr:twoCellAnchor>
  <xdr:twoCellAnchor>
    <xdr:from>
      <xdr:col>3</xdr:col>
      <xdr:colOff>567418</xdr:colOff>
      <xdr:row>15</xdr:row>
      <xdr:rowOff>80281</xdr:rowOff>
    </xdr:from>
    <xdr:to>
      <xdr:col>4</xdr:col>
      <xdr:colOff>112939</xdr:colOff>
      <xdr:row>15</xdr:row>
      <xdr:rowOff>194581</xdr:rowOff>
    </xdr:to>
    <xdr:sp macro="" textlink="">
      <xdr:nvSpPr>
        <xdr:cNvPr id="10" name="等腰三角形 9"/>
        <xdr:cNvSpPr/>
      </xdr:nvSpPr>
      <xdr:spPr>
        <a:xfrm rot="10800000">
          <a:off x="2367643" y="3766456"/>
          <a:ext cx="231321" cy="11430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clientData/>
  </xdr:twoCellAnchor>
  <xdr:twoCellAnchor>
    <xdr:from>
      <xdr:col>12</xdr:col>
      <xdr:colOff>576942</xdr:colOff>
      <xdr:row>15</xdr:row>
      <xdr:rowOff>83002</xdr:rowOff>
    </xdr:from>
    <xdr:to>
      <xdr:col>13</xdr:col>
      <xdr:colOff>122464</xdr:colOff>
      <xdr:row>15</xdr:row>
      <xdr:rowOff>197302</xdr:rowOff>
    </xdr:to>
    <xdr:sp macro="" textlink="">
      <xdr:nvSpPr>
        <xdr:cNvPr id="11" name="等腰三角形 10"/>
        <xdr:cNvSpPr/>
      </xdr:nvSpPr>
      <xdr:spPr>
        <a:xfrm rot="10800000">
          <a:off x="8549367" y="3769177"/>
          <a:ext cx="231322" cy="11430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clientData/>
  </xdr:twoCellAnchor>
  <xdr:twoCellAnchor>
    <xdr:from>
      <xdr:col>13</xdr:col>
      <xdr:colOff>6123</xdr:colOff>
      <xdr:row>13</xdr:row>
      <xdr:rowOff>101372</xdr:rowOff>
    </xdr:from>
    <xdr:to>
      <xdr:col>13</xdr:col>
      <xdr:colOff>120423</xdr:colOff>
      <xdr:row>14</xdr:row>
      <xdr:rowOff>123144</xdr:rowOff>
    </xdr:to>
    <xdr:sp macro="" textlink="">
      <xdr:nvSpPr>
        <xdr:cNvPr id="12" name="等腰三角形 11"/>
        <xdr:cNvSpPr/>
      </xdr:nvSpPr>
      <xdr:spPr>
        <a:xfrm rot="16200000">
          <a:off x="8605837" y="3341233"/>
          <a:ext cx="231322" cy="11430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clientData/>
  </xdr:twoCellAnchor>
  <xdr:twoCellAnchor>
    <xdr:from>
      <xdr:col>10</xdr:col>
      <xdr:colOff>8844</xdr:colOff>
      <xdr:row>19</xdr:row>
      <xdr:rowOff>97291</xdr:rowOff>
    </xdr:from>
    <xdr:to>
      <xdr:col>10</xdr:col>
      <xdr:colOff>123144</xdr:colOff>
      <xdr:row>20</xdr:row>
      <xdr:rowOff>119062</xdr:rowOff>
    </xdr:to>
    <xdr:sp macro="" textlink="">
      <xdr:nvSpPr>
        <xdr:cNvPr id="13" name="等腰三角形 12"/>
        <xdr:cNvSpPr/>
      </xdr:nvSpPr>
      <xdr:spPr>
        <a:xfrm rot="16200000">
          <a:off x="6551158" y="4746852"/>
          <a:ext cx="231321" cy="11430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clientData/>
  </xdr:twoCellAnchor>
  <xdr:twoCellAnchor>
    <xdr:from>
      <xdr:col>8</xdr:col>
      <xdr:colOff>567417</xdr:colOff>
      <xdr:row>22</xdr:row>
      <xdr:rowOff>80282</xdr:rowOff>
    </xdr:from>
    <xdr:to>
      <xdr:col>9</xdr:col>
      <xdr:colOff>112938</xdr:colOff>
      <xdr:row>22</xdr:row>
      <xdr:rowOff>194582</xdr:rowOff>
    </xdr:to>
    <xdr:sp macro="" textlink="">
      <xdr:nvSpPr>
        <xdr:cNvPr id="14" name="等腰三角形 13"/>
        <xdr:cNvSpPr/>
      </xdr:nvSpPr>
      <xdr:spPr>
        <a:xfrm rot="10800000">
          <a:off x="5796642" y="5299982"/>
          <a:ext cx="231321" cy="11430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clientData/>
  </xdr:twoCellAnchor>
  <xdr:twoCellAnchor>
    <xdr:from>
      <xdr:col>11</xdr:col>
      <xdr:colOff>567730</xdr:colOff>
      <xdr:row>22</xdr:row>
      <xdr:rowOff>80492</xdr:rowOff>
    </xdr:from>
    <xdr:to>
      <xdr:col>12</xdr:col>
      <xdr:colOff>113251</xdr:colOff>
      <xdr:row>22</xdr:row>
      <xdr:rowOff>194792</xdr:rowOff>
    </xdr:to>
    <xdr:sp macro="" textlink="">
      <xdr:nvSpPr>
        <xdr:cNvPr id="15" name="等腰三角形 14"/>
        <xdr:cNvSpPr/>
      </xdr:nvSpPr>
      <xdr:spPr>
        <a:xfrm rot="10800000">
          <a:off x="7854355" y="5300192"/>
          <a:ext cx="231321" cy="11430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clientData/>
  </xdr:twoCellAnchor>
  <xdr:twoCellAnchor>
    <xdr:from>
      <xdr:col>11</xdr:col>
      <xdr:colOff>8844</xdr:colOff>
      <xdr:row>5</xdr:row>
      <xdr:rowOff>93208</xdr:rowOff>
    </xdr:from>
    <xdr:to>
      <xdr:col>11</xdr:col>
      <xdr:colOff>123144</xdr:colOff>
      <xdr:row>6</xdr:row>
      <xdr:rowOff>114980</xdr:rowOff>
    </xdr:to>
    <xdr:sp macro="" textlink="">
      <xdr:nvSpPr>
        <xdr:cNvPr id="16" name="等腰三角形 15"/>
        <xdr:cNvSpPr/>
      </xdr:nvSpPr>
      <xdr:spPr>
        <a:xfrm rot="16200000">
          <a:off x="7236958" y="1161369"/>
          <a:ext cx="231322" cy="11430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clientData/>
  </xdr:twoCellAnchor>
  <xdr:twoCellAnchor>
    <xdr:from>
      <xdr:col>5</xdr:col>
      <xdr:colOff>566509</xdr:colOff>
      <xdr:row>19</xdr:row>
      <xdr:rowOff>99176</xdr:rowOff>
    </xdr:from>
    <xdr:to>
      <xdr:col>6</xdr:col>
      <xdr:colOff>112030</xdr:colOff>
      <xdr:row>20</xdr:row>
      <xdr:rowOff>995</xdr:rowOff>
    </xdr:to>
    <xdr:sp macro="" textlink="">
      <xdr:nvSpPr>
        <xdr:cNvPr id="17" name="等腰三角形 16"/>
        <xdr:cNvSpPr/>
      </xdr:nvSpPr>
      <xdr:spPr>
        <a:xfrm rot="10800000">
          <a:off x="3738334" y="4690226"/>
          <a:ext cx="231321" cy="11136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clientData/>
  </xdr:twoCellAnchor>
  <xdr:twoCellAnchor>
    <xdr:from>
      <xdr:col>1</xdr:col>
      <xdr:colOff>565288</xdr:colOff>
      <xdr:row>19</xdr:row>
      <xdr:rowOff>95024</xdr:rowOff>
    </xdr:from>
    <xdr:to>
      <xdr:col>2</xdr:col>
      <xdr:colOff>110809</xdr:colOff>
      <xdr:row>19</xdr:row>
      <xdr:rowOff>209324</xdr:rowOff>
    </xdr:to>
    <xdr:sp macro="" textlink="">
      <xdr:nvSpPr>
        <xdr:cNvPr id="18" name="等腰三角形 17"/>
        <xdr:cNvSpPr/>
      </xdr:nvSpPr>
      <xdr:spPr>
        <a:xfrm rot="10800000">
          <a:off x="993913" y="4686074"/>
          <a:ext cx="231321" cy="11430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clientData/>
  </xdr:twoCellAnchor>
  <xdr:twoCellAnchor>
    <xdr:from>
      <xdr:col>1</xdr:col>
      <xdr:colOff>567486</xdr:colOff>
      <xdr:row>23</xdr:row>
      <xdr:rowOff>104549</xdr:rowOff>
    </xdr:from>
    <xdr:to>
      <xdr:col>2</xdr:col>
      <xdr:colOff>113007</xdr:colOff>
      <xdr:row>23</xdr:row>
      <xdr:rowOff>218849</xdr:rowOff>
    </xdr:to>
    <xdr:sp macro="" textlink="">
      <xdr:nvSpPr>
        <xdr:cNvPr id="19" name="等腰三角形 18"/>
        <xdr:cNvSpPr/>
      </xdr:nvSpPr>
      <xdr:spPr>
        <a:xfrm rot="10800000">
          <a:off x="996111" y="5524274"/>
          <a:ext cx="231321" cy="11430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clientData/>
  </xdr:twoCellAnchor>
  <xdr:twoCellAnchor>
    <xdr:from>
      <xdr:col>8</xdr:col>
      <xdr:colOff>564801</xdr:colOff>
      <xdr:row>25</xdr:row>
      <xdr:rowOff>138373</xdr:rowOff>
    </xdr:from>
    <xdr:to>
      <xdr:col>9</xdr:col>
      <xdr:colOff>110322</xdr:colOff>
      <xdr:row>26</xdr:row>
      <xdr:rowOff>3558</xdr:rowOff>
    </xdr:to>
    <xdr:sp macro="" textlink="">
      <xdr:nvSpPr>
        <xdr:cNvPr id="20" name="等腰三角形 19"/>
        <xdr:cNvSpPr/>
      </xdr:nvSpPr>
      <xdr:spPr>
        <a:xfrm rot="10800000">
          <a:off x="5794026" y="5977198"/>
          <a:ext cx="231321" cy="112835"/>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clientData/>
  </xdr:twoCellAnchor>
  <xdr:twoCellAnchor>
    <xdr:from>
      <xdr:col>7</xdr:col>
      <xdr:colOff>10658</xdr:colOff>
      <xdr:row>26</xdr:row>
      <xdr:rowOff>96611</xdr:rowOff>
    </xdr:from>
    <xdr:to>
      <xdr:col>7</xdr:col>
      <xdr:colOff>124958</xdr:colOff>
      <xdr:row>27</xdr:row>
      <xdr:rowOff>118382</xdr:rowOff>
    </xdr:to>
    <xdr:sp macro="" textlink="">
      <xdr:nvSpPr>
        <xdr:cNvPr id="21" name="等腰三角形 20"/>
        <xdr:cNvSpPr/>
      </xdr:nvSpPr>
      <xdr:spPr>
        <a:xfrm rot="16200000">
          <a:off x="4495572" y="6241597"/>
          <a:ext cx="231321" cy="11430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clientData/>
  </xdr:twoCellAnchor>
  <xdr:twoCellAnchor>
    <xdr:from>
      <xdr:col>4</xdr:col>
      <xdr:colOff>4307</xdr:colOff>
      <xdr:row>24</xdr:row>
      <xdr:rowOff>90261</xdr:rowOff>
    </xdr:from>
    <xdr:to>
      <xdr:col>4</xdr:col>
      <xdr:colOff>118607</xdr:colOff>
      <xdr:row>25</xdr:row>
      <xdr:rowOff>119969</xdr:rowOff>
    </xdr:to>
    <xdr:sp macro="" textlink="">
      <xdr:nvSpPr>
        <xdr:cNvPr id="22" name="等腰三角形 21"/>
        <xdr:cNvSpPr/>
      </xdr:nvSpPr>
      <xdr:spPr>
        <a:xfrm rot="16200000">
          <a:off x="2432615" y="5786778"/>
          <a:ext cx="229733" cy="114300"/>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clientData/>
  </xdr:twoCellAnchor>
  <xdr:twoCellAnchor>
    <xdr:from>
      <xdr:col>7</xdr:col>
      <xdr:colOff>261938</xdr:colOff>
      <xdr:row>18</xdr:row>
      <xdr:rowOff>6350</xdr:rowOff>
    </xdr:from>
    <xdr:to>
      <xdr:col>7</xdr:col>
      <xdr:colOff>266700</xdr:colOff>
      <xdr:row>25</xdr:row>
      <xdr:rowOff>180975</xdr:rowOff>
    </xdr:to>
    <xdr:cxnSp macro="">
      <xdr:nvCxnSpPr>
        <xdr:cNvPr id="23" name="直線接點 22"/>
        <xdr:cNvCxnSpPr/>
      </xdr:nvCxnSpPr>
      <xdr:spPr>
        <a:xfrm flipH="1">
          <a:off x="4805363" y="4387850"/>
          <a:ext cx="4762" cy="16319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14654</xdr:colOff>
      <xdr:row>25</xdr:row>
      <xdr:rowOff>184150</xdr:rowOff>
    </xdr:from>
    <xdr:to>
      <xdr:col>7</xdr:col>
      <xdr:colOff>266700</xdr:colOff>
      <xdr:row>25</xdr:row>
      <xdr:rowOff>190500</xdr:rowOff>
    </xdr:to>
    <xdr:cxnSp macro="">
      <xdr:nvCxnSpPr>
        <xdr:cNvPr id="24" name="直線接點 23"/>
        <xdr:cNvCxnSpPr/>
      </xdr:nvCxnSpPr>
      <xdr:spPr>
        <a:xfrm flipV="1">
          <a:off x="4558079" y="6022975"/>
          <a:ext cx="252046" cy="6350"/>
        </a:xfrm>
        <a:prstGeom prst="line">
          <a:avLst/>
        </a:prstGeom>
        <a:ln w="19050"/>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151805</xdr:colOff>
      <xdr:row>18</xdr:row>
      <xdr:rowOff>9299</xdr:rowOff>
    </xdr:from>
    <xdr:to>
      <xdr:col>7</xdr:col>
      <xdr:colOff>383126</xdr:colOff>
      <xdr:row>18</xdr:row>
      <xdr:rowOff>120668</xdr:rowOff>
    </xdr:to>
    <xdr:sp macro="" textlink="">
      <xdr:nvSpPr>
        <xdr:cNvPr id="25" name="等腰三角形 24"/>
        <xdr:cNvSpPr/>
      </xdr:nvSpPr>
      <xdr:spPr>
        <a:xfrm>
          <a:off x="4695230" y="4390799"/>
          <a:ext cx="231321" cy="111369"/>
        </a:xfrm>
        <a:prstGeom prst="triangle">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zh-TW" altLang="en-US" sz="1100"/>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43"/>
  <sheetViews>
    <sheetView showGridLines="0" tabSelected="1" workbookViewId="0">
      <selection sqref="A1:H1"/>
    </sheetView>
  </sheetViews>
  <sheetFormatPr defaultRowHeight="15.75"/>
  <cols>
    <col min="1" max="12" width="9" style="347"/>
    <col min="13" max="13" width="12.625" style="347" bestFit="1" customWidth="1"/>
    <col min="14" max="16384" width="9" style="347"/>
  </cols>
  <sheetData>
    <row r="1" spans="1:15" ht="33" customHeight="1">
      <c r="A1" s="369" t="s">
        <v>671</v>
      </c>
      <c r="B1" s="369"/>
      <c r="C1" s="369"/>
      <c r="D1" s="369"/>
      <c r="E1" s="369"/>
      <c r="F1" s="369"/>
      <c r="G1" s="369"/>
      <c r="H1" s="369"/>
      <c r="I1" s="352"/>
      <c r="J1" s="352"/>
      <c r="K1" s="352"/>
      <c r="L1" s="352"/>
    </row>
    <row r="2" spans="1:15" ht="20.100000000000001" customHeight="1">
      <c r="A2" s="632" t="s">
        <v>743</v>
      </c>
      <c r="B2" s="632"/>
      <c r="C2" s="632"/>
      <c r="D2" s="632"/>
      <c r="E2" s="351"/>
      <c r="F2" s="351"/>
      <c r="G2" s="351"/>
      <c r="H2" s="351"/>
      <c r="I2" s="352"/>
      <c r="J2" s="352"/>
      <c r="K2" s="352"/>
      <c r="L2" s="352"/>
    </row>
    <row r="3" spans="1:15" ht="20.100000000000001" customHeight="1">
      <c r="A3" s="370" t="s">
        <v>672</v>
      </c>
      <c r="B3" s="370"/>
      <c r="C3" s="370"/>
      <c r="D3" s="370"/>
      <c r="E3" s="370"/>
      <c r="F3" s="353"/>
      <c r="G3" s="353"/>
      <c r="H3" s="353"/>
      <c r="I3" s="354"/>
      <c r="J3" s="354"/>
      <c r="K3" s="354"/>
      <c r="L3" s="354"/>
    </row>
    <row r="4" spans="1:15" ht="20.100000000000001" customHeight="1">
      <c r="A4" s="370" t="s">
        <v>673</v>
      </c>
      <c r="B4" s="370"/>
      <c r="C4" s="370"/>
      <c r="D4" s="370"/>
      <c r="E4" s="370"/>
      <c r="F4" s="353"/>
      <c r="G4" s="353"/>
      <c r="H4" s="353"/>
      <c r="I4" s="354"/>
      <c r="J4" s="631"/>
      <c r="K4" s="354"/>
      <c r="L4" s="354"/>
    </row>
    <row r="5" spans="1:15" ht="20.100000000000001" customHeight="1">
      <c r="A5" s="370" t="s">
        <v>674</v>
      </c>
      <c r="B5" s="370"/>
      <c r="C5" s="370"/>
      <c r="D5" s="370"/>
      <c r="E5" s="353"/>
      <c r="F5" s="353"/>
      <c r="G5" s="353"/>
      <c r="H5" s="353"/>
      <c r="I5" s="354"/>
      <c r="J5" s="354"/>
      <c r="K5" s="354"/>
      <c r="L5" s="354"/>
    </row>
    <row r="6" spans="1:15" ht="20.100000000000001" customHeight="1">
      <c r="A6" s="370" t="s">
        <v>675</v>
      </c>
      <c r="B6" s="370"/>
      <c r="C6" s="370"/>
      <c r="D6" s="370"/>
      <c r="E6" s="370"/>
      <c r="F6" s="353"/>
      <c r="G6" s="353"/>
      <c r="H6" s="353"/>
      <c r="I6" s="354"/>
      <c r="J6" s="354"/>
      <c r="K6" s="354"/>
      <c r="L6" s="354"/>
    </row>
    <row r="7" spans="1:15" ht="20.100000000000001" customHeight="1">
      <c r="A7" s="368" t="s">
        <v>676</v>
      </c>
      <c r="B7" s="368"/>
      <c r="C7" s="368"/>
      <c r="D7" s="368"/>
      <c r="E7" s="355"/>
      <c r="F7" s="355"/>
      <c r="G7" s="355"/>
      <c r="H7" s="355"/>
      <c r="I7" s="356"/>
      <c r="J7" s="356"/>
      <c r="K7" s="356"/>
      <c r="L7" s="356"/>
    </row>
    <row r="8" spans="1:15" ht="20.100000000000001" customHeight="1">
      <c r="A8" s="368" t="s">
        <v>677</v>
      </c>
      <c r="B8" s="368"/>
      <c r="C8" s="368"/>
      <c r="D8" s="368"/>
      <c r="E8" s="368"/>
      <c r="F8" s="368"/>
      <c r="G8" s="368"/>
      <c r="H8" s="355"/>
      <c r="I8" s="356"/>
      <c r="J8" s="356"/>
      <c r="K8" s="356"/>
      <c r="L8" s="356"/>
    </row>
    <row r="9" spans="1:15" ht="20.100000000000001" customHeight="1">
      <c r="A9" s="368" t="s">
        <v>678</v>
      </c>
      <c r="B9" s="368"/>
      <c r="C9" s="368"/>
      <c r="D9" s="368"/>
      <c r="E9" s="368"/>
      <c r="F9" s="355"/>
      <c r="G9" s="355"/>
      <c r="H9" s="355"/>
      <c r="I9" s="356"/>
      <c r="J9" s="356"/>
      <c r="K9" s="356"/>
      <c r="L9" s="356"/>
    </row>
    <row r="10" spans="1:15" ht="20.100000000000001" customHeight="1">
      <c r="A10" s="368" t="s">
        <v>679</v>
      </c>
      <c r="B10" s="368"/>
      <c r="C10" s="368"/>
      <c r="D10" s="368"/>
      <c r="E10" s="368"/>
      <c r="F10" s="368"/>
      <c r="G10" s="355"/>
      <c r="H10" s="355"/>
      <c r="I10" s="356"/>
      <c r="J10" s="356"/>
      <c r="K10" s="356"/>
      <c r="L10" s="356"/>
    </row>
    <row r="11" spans="1:15" ht="20.100000000000001" customHeight="1">
      <c r="A11" s="368" t="s">
        <v>680</v>
      </c>
      <c r="B11" s="368"/>
      <c r="C11" s="368"/>
      <c r="D11" s="368"/>
      <c r="E11" s="368"/>
      <c r="F11" s="368"/>
      <c r="G11" s="355"/>
      <c r="H11" s="355"/>
      <c r="I11" s="356"/>
      <c r="J11" s="356"/>
      <c r="K11" s="356"/>
      <c r="L11" s="356"/>
    </row>
    <row r="12" spans="1:15" ht="20.100000000000001" customHeight="1">
      <c r="A12" s="368" t="s">
        <v>681</v>
      </c>
      <c r="B12" s="368"/>
      <c r="C12" s="368"/>
      <c r="D12" s="368"/>
      <c r="E12" s="368"/>
      <c r="F12" s="355"/>
      <c r="G12" s="355"/>
      <c r="H12" s="355"/>
      <c r="I12" s="356"/>
      <c r="J12" s="356"/>
      <c r="K12" s="356"/>
      <c r="L12" s="356"/>
    </row>
    <row r="13" spans="1:15" ht="20.100000000000001" customHeight="1">
      <c r="A13" s="368" t="s">
        <v>682</v>
      </c>
      <c r="B13" s="368"/>
      <c r="C13" s="368"/>
      <c r="D13" s="368"/>
      <c r="E13" s="368"/>
      <c r="F13" s="368"/>
      <c r="G13" s="355"/>
      <c r="H13" s="355"/>
      <c r="I13" s="356"/>
      <c r="J13" s="356"/>
      <c r="K13" s="356"/>
      <c r="L13" s="356"/>
    </row>
    <row r="14" spans="1:15" ht="20.100000000000001" customHeight="1">
      <c r="A14" s="368" t="s">
        <v>683</v>
      </c>
      <c r="B14" s="368"/>
      <c r="C14" s="368"/>
      <c r="D14" s="368"/>
      <c r="E14" s="368"/>
      <c r="F14" s="368"/>
      <c r="G14" s="355"/>
      <c r="H14" s="355"/>
      <c r="I14" s="356"/>
      <c r="J14" s="356"/>
      <c r="K14" s="356"/>
      <c r="L14" s="356"/>
    </row>
    <row r="15" spans="1:15" ht="20.100000000000001" customHeight="1">
      <c r="A15" s="368" t="s">
        <v>684</v>
      </c>
      <c r="B15" s="368"/>
      <c r="C15" s="368"/>
      <c r="D15" s="368"/>
      <c r="E15" s="368"/>
      <c r="F15" s="368"/>
      <c r="G15" s="355"/>
      <c r="H15" s="355"/>
      <c r="I15" s="356"/>
      <c r="J15" s="356"/>
      <c r="K15" s="356"/>
      <c r="L15" s="356"/>
      <c r="O15" s="350"/>
    </row>
    <row r="16" spans="1:15" ht="20.100000000000001" customHeight="1">
      <c r="A16" s="368" t="s">
        <v>685</v>
      </c>
      <c r="B16" s="368"/>
      <c r="C16" s="368"/>
      <c r="D16" s="368"/>
      <c r="E16" s="368"/>
      <c r="F16" s="368"/>
      <c r="G16" s="355"/>
      <c r="H16" s="355"/>
      <c r="I16" s="356"/>
      <c r="J16" s="356"/>
      <c r="K16" s="356"/>
      <c r="L16" s="356"/>
    </row>
    <row r="17" spans="1:12" ht="20.100000000000001" customHeight="1">
      <c r="A17" s="368" t="s">
        <v>686</v>
      </c>
      <c r="B17" s="368"/>
      <c r="C17" s="368"/>
      <c r="D17" s="368"/>
      <c r="E17" s="368"/>
      <c r="F17" s="355"/>
      <c r="G17" s="355"/>
      <c r="H17" s="355"/>
      <c r="I17" s="356"/>
      <c r="J17" s="356"/>
      <c r="K17" s="356"/>
      <c r="L17" s="356"/>
    </row>
    <row r="18" spans="1:12" ht="20.100000000000001" customHeight="1">
      <c r="A18" s="368" t="s">
        <v>687</v>
      </c>
      <c r="B18" s="368"/>
      <c r="C18" s="368"/>
      <c r="D18" s="368"/>
      <c r="E18" s="355"/>
      <c r="F18" s="355"/>
      <c r="G18" s="355"/>
      <c r="H18" s="355"/>
      <c r="I18" s="356"/>
      <c r="J18" s="356"/>
      <c r="K18" s="356"/>
      <c r="L18" s="356"/>
    </row>
    <row r="19" spans="1:12" ht="20.100000000000001" customHeight="1">
      <c r="A19" s="368" t="s">
        <v>688</v>
      </c>
      <c r="B19" s="368"/>
      <c r="C19" s="368"/>
      <c r="D19" s="368"/>
      <c r="E19" s="368"/>
      <c r="F19" s="355"/>
      <c r="G19" s="355"/>
      <c r="H19" s="357"/>
      <c r="I19" s="356"/>
      <c r="J19" s="356"/>
      <c r="K19" s="356"/>
      <c r="L19" s="356"/>
    </row>
    <row r="20" spans="1:12" ht="20.100000000000001" customHeight="1">
      <c r="A20" s="368" t="s">
        <v>689</v>
      </c>
      <c r="B20" s="368"/>
      <c r="C20" s="368"/>
      <c r="D20" s="368"/>
      <c r="E20" s="355"/>
      <c r="F20" s="355"/>
      <c r="G20" s="355"/>
      <c r="H20" s="355"/>
      <c r="I20" s="356"/>
      <c r="J20" s="356"/>
      <c r="K20" s="356"/>
      <c r="L20" s="356"/>
    </row>
    <row r="21" spans="1:12" ht="20.100000000000001" customHeight="1">
      <c r="A21" s="368" t="s">
        <v>690</v>
      </c>
      <c r="B21" s="368"/>
      <c r="C21" s="368"/>
      <c r="D21" s="368"/>
      <c r="E21" s="368"/>
      <c r="F21" s="355"/>
      <c r="G21" s="355"/>
      <c r="H21" s="355"/>
      <c r="I21" s="356"/>
      <c r="J21" s="356"/>
      <c r="K21" s="356"/>
      <c r="L21" s="356"/>
    </row>
    <row r="22" spans="1:12" ht="20.100000000000001" customHeight="1">
      <c r="A22" s="368" t="s">
        <v>691</v>
      </c>
      <c r="B22" s="368"/>
      <c r="C22" s="368"/>
      <c r="D22" s="368"/>
      <c r="E22" s="368"/>
      <c r="F22" s="355"/>
      <c r="G22" s="355"/>
      <c r="H22" s="355"/>
      <c r="I22" s="356"/>
      <c r="J22" s="356"/>
      <c r="K22" s="356"/>
      <c r="L22" s="356"/>
    </row>
    <row r="23" spans="1:12" ht="20.100000000000001" customHeight="1">
      <c r="A23" s="368" t="s">
        <v>692</v>
      </c>
      <c r="B23" s="368"/>
      <c r="C23" s="368"/>
      <c r="D23" s="368"/>
      <c r="E23" s="355"/>
      <c r="F23" s="355"/>
      <c r="G23" s="355"/>
      <c r="H23" s="355"/>
      <c r="I23" s="356"/>
      <c r="J23" s="356"/>
      <c r="K23" s="356"/>
      <c r="L23" s="356"/>
    </row>
    <row r="24" spans="1:12" ht="20.100000000000001" customHeight="1">
      <c r="A24" s="368" t="s">
        <v>693</v>
      </c>
      <c r="B24" s="368"/>
      <c r="C24" s="368"/>
      <c r="D24" s="368"/>
      <c r="E24" s="368"/>
      <c r="F24" s="355"/>
      <c r="G24" s="355"/>
      <c r="H24" s="355"/>
      <c r="I24" s="356"/>
      <c r="J24" s="356"/>
      <c r="K24" s="356"/>
      <c r="L24" s="356"/>
    </row>
    <row r="25" spans="1:12" ht="20.100000000000001" customHeight="1">
      <c r="A25" s="368" t="s">
        <v>694</v>
      </c>
      <c r="B25" s="368"/>
      <c r="C25" s="368"/>
      <c r="D25" s="368"/>
      <c r="E25" s="368"/>
      <c r="F25" s="368"/>
      <c r="G25" s="355"/>
      <c r="H25" s="355"/>
      <c r="I25" s="356"/>
      <c r="J25" s="356"/>
      <c r="K25" s="356"/>
      <c r="L25" s="356"/>
    </row>
    <row r="26" spans="1:12" ht="20.100000000000001" customHeight="1">
      <c r="A26" s="368" t="s">
        <v>695</v>
      </c>
      <c r="B26" s="368"/>
      <c r="C26" s="368"/>
      <c r="D26" s="368"/>
      <c r="E26" s="368"/>
      <c r="F26" s="368"/>
      <c r="G26" s="355"/>
      <c r="H26" s="355"/>
      <c r="I26" s="356"/>
      <c r="J26" s="356"/>
      <c r="K26" s="356"/>
      <c r="L26" s="356"/>
    </row>
    <row r="27" spans="1:12" ht="20.100000000000001" customHeight="1">
      <c r="A27" s="368" t="s">
        <v>696</v>
      </c>
      <c r="B27" s="368"/>
      <c r="C27" s="368"/>
      <c r="D27" s="368"/>
      <c r="E27" s="368"/>
      <c r="F27" s="368"/>
      <c r="G27" s="355"/>
      <c r="H27" s="355"/>
      <c r="I27" s="356"/>
      <c r="J27" s="356"/>
      <c r="K27" s="356"/>
      <c r="L27" s="356"/>
    </row>
    <row r="28" spans="1:12" ht="20.100000000000001" customHeight="1">
      <c r="A28" s="368" t="s">
        <v>697</v>
      </c>
      <c r="B28" s="368"/>
      <c r="C28" s="368"/>
      <c r="D28" s="368"/>
      <c r="E28" s="368"/>
      <c r="F28" s="368"/>
      <c r="G28" s="355"/>
      <c r="H28" s="355"/>
      <c r="I28" s="358"/>
      <c r="J28" s="356"/>
      <c r="K28" s="356"/>
      <c r="L28" s="356"/>
    </row>
    <row r="29" spans="1:12" ht="20.100000000000001" customHeight="1">
      <c r="A29" s="368" t="s">
        <v>698</v>
      </c>
      <c r="B29" s="368"/>
      <c r="C29" s="368"/>
      <c r="D29" s="368"/>
      <c r="E29" s="368"/>
      <c r="F29" s="368"/>
      <c r="G29" s="355"/>
      <c r="H29" s="355"/>
      <c r="I29" s="356"/>
      <c r="J29" s="356"/>
      <c r="K29" s="356"/>
      <c r="L29" s="356"/>
    </row>
    <row r="30" spans="1:12" ht="20.100000000000001" customHeight="1">
      <c r="A30" s="368" t="s">
        <v>699</v>
      </c>
      <c r="B30" s="368"/>
      <c r="C30" s="368"/>
      <c r="D30" s="368"/>
      <c r="E30" s="368"/>
      <c r="F30" s="368"/>
      <c r="G30" s="355"/>
      <c r="H30" s="355"/>
      <c r="I30" s="356"/>
      <c r="J30" s="356"/>
      <c r="K30" s="356"/>
      <c r="L30" s="356"/>
    </row>
    <row r="31" spans="1:12" ht="20.100000000000001" customHeight="1">
      <c r="A31" s="368" t="s">
        <v>700</v>
      </c>
      <c r="B31" s="368"/>
      <c r="C31" s="368"/>
      <c r="D31" s="368"/>
      <c r="E31" s="368"/>
      <c r="F31" s="368"/>
      <c r="G31" s="355"/>
      <c r="H31" s="355"/>
      <c r="I31" s="356"/>
      <c r="J31" s="356"/>
      <c r="K31" s="356"/>
      <c r="L31" s="356"/>
    </row>
    <row r="32" spans="1:12" ht="20.100000000000001" customHeight="1">
      <c r="A32" s="368" t="s">
        <v>701</v>
      </c>
      <c r="B32" s="368"/>
      <c r="C32" s="368"/>
      <c r="D32" s="368"/>
      <c r="E32" s="368"/>
      <c r="F32" s="368"/>
      <c r="G32" s="355"/>
      <c r="H32" s="355"/>
      <c r="I32" s="356"/>
      <c r="J32" s="356"/>
      <c r="K32" s="356"/>
      <c r="L32" s="356"/>
    </row>
    <row r="33" spans="1:12" ht="20.100000000000001" customHeight="1">
      <c r="A33" s="368" t="s">
        <v>702</v>
      </c>
      <c r="B33" s="368"/>
      <c r="C33" s="368"/>
      <c r="D33" s="368"/>
      <c r="E33" s="368"/>
      <c r="F33" s="368"/>
      <c r="G33" s="368"/>
      <c r="H33" s="355"/>
      <c r="I33" s="356"/>
      <c r="J33" s="356"/>
      <c r="K33" s="356"/>
      <c r="L33" s="356"/>
    </row>
    <row r="34" spans="1:12" ht="20.100000000000001" customHeight="1">
      <c r="A34" s="368" t="s">
        <v>703</v>
      </c>
      <c r="B34" s="368"/>
      <c r="C34" s="368"/>
      <c r="D34" s="368"/>
      <c r="E34" s="368"/>
      <c r="F34" s="368"/>
      <c r="G34" s="368"/>
      <c r="H34" s="355"/>
      <c r="I34" s="356"/>
      <c r="J34" s="356"/>
      <c r="K34" s="356"/>
      <c r="L34" s="356"/>
    </row>
    <row r="35" spans="1:12" ht="20.100000000000001" customHeight="1">
      <c r="A35" s="368" t="s">
        <v>704</v>
      </c>
      <c r="B35" s="368"/>
      <c r="C35" s="368"/>
      <c r="D35" s="368"/>
      <c r="E35" s="368"/>
      <c r="F35" s="368"/>
      <c r="G35" s="368"/>
      <c r="H35" s="355"/>
      <c r="I35" s="356"/>
      <c r="J35" s="356"/>
      <c r="K35" s="356"/>
      <c r="L35" s="356"/>
    </row>
    <row r="36" spans="1:12" ht="20.100000000000001" customHeight="1">
      <c r="A36" s="368" t="s">
        <v>705</v>
      </c>
      <c r="B36" s="368"/>
      <c r="C36" s="368"/>
      <c r="D36" s="368"/>
      <c r="E36" s="368"/>
      <c r="F36" s="368"/>
      <c r="G36" s="355"/>
      <c r="H36" s="355"/>
      <c r="I36" s="356"/>
      <c r="J36" s="356"/>
      <c r="K36" s="356"/>
      <c r="L36" s="356"/>
    </row>
    <row r="37" spans="1:12" ht="20.100000000000001" customHeight="1">
      <c r="A37" s="368" t="s">
        <v>706</v>
      </c>
      <c r="B37" s="368"/>
      <c r="C37" s="368"/>
      <c r="D37" s="368"/>
      <c r="E37" s="368"/>
      <c r="F37" s="368"/>
      <c r="G37" s="355"/>
      <c r="H37" s="355"/>
      <c r="I37" s="356"/>
      <c r="J37" s="356"/>
      <c r="K37" s="356"/>
      <c r="L37" s="356"/>
    </row>
    <row r="38" spans="1:12" ht="20.100000000000001" customHeight="1">
      <c r="A38" s="368" t="s">
        <v>707</v>
      </c>
      <c r="B38" s="368"/>
      <c r="C38" s="368"/>
      <c r="D38" s="368"/>
      <c r="E38" s="368"/>
      <c r="F38" s="368"/>
      <c r="G38" s="355"/>
      <c r="H38" s="355"/>
      <c r="I38" s="356"/>
      <c r="J38" s="356"/>
      <c r="K38" s="356"/>
      <c r="L38" s="356"/>
    </row>
    <row r="39" spans="1:12" ht="20.100000000000001" customHeight="1">
      <c r="A39" s="368" t="s">
        <v>708</v>
      </c>
      <c r="B39" s="368"/>
      <c r="C39" s="368"/>
      <c r="D39" s="368"/>
      <c r="E39" s="368"/>
      <c r="F39" s="368"/>
      <c r="G39" s="368"/>
      <c r="H39" s="355"/>
      <c r="I39" s="356"/>
      <c r="J39" s="356"/>
      <c r="K39" s="356"/>
      <c r="L39" s="356"/>
    </row>
    <row r="40" spans="1:12" ht="20.100000000000001" customHeight="1">
      <c r="A40" s="368" t="s">
        <v>709</v>
      </c>
      <c r="B40" s="368"/>
      <c r="C40" s="368"/>
      <c r="D40" s="368"/>
      <c r="E40" s="368"/>
      <c r="F40" s="368"/>
      <c r="G40" s="368"/>
      <c r="H40" s="355"/>
      <c r="I40" s="356"/>
      <c r="J40" s="356"/>
      <c r="K40" s="356"/>
      <c r="L40" s="356"/>
    </row>
    <row r="41" spans="1:12" ht="20.100000000000001" customHeight="1">
      <c r="A41" s="368" t="s">
        <v>710</v>
      </c>
      <c r="B41" s="368"/>
      <c r="C41" s="368"/>
      <c r="D41" s="368"/>
      <c r="E41" s="368"/>
      <c r="F41" s="368"/>
      <c r="G41" s="368"/>
      <c r="H41" s="368"/>
      <c r="I41" s="356"/>
      <c r="J41" s="356"/>
      <c r="K41" s="356"/>
      <c r="L41" s="356"/>
    </row>
    <row r="42" spans="1:12" ht="20.100000000000001" customHeight="1">
      <c r="A42" s="368" t="s">
        <v>711</v>
      </c>
      <c r="B42" s="368"/>
      <c r="C42" s="368"/>
      <c r="D42" s="368"/>
      <c r="E42" s="368"/>
      <c r="F42" s="368"/>
      <c r="G42" s="368"/>
      <c r="H42" s="355"/>
      <c r="I42" s="356"/>
      <c r="J42" s="356"/>
      <c r="K42" s="356"/>
      <c r="L42" s="356"/>
    </row>
    <row r="43" spans="1:12" ht="20.100000000000001" customHeight="1">
      <c r="A43" s="368" t="s">
        <v>712</v>
      </c>
      <c r="B43" s="368"/>
      <c r="C43" s="368"/>
      <c r="D43" s="368"/>
      <c r="E43" s="368"/>
      <c r="F43" s="355"/>
      <c r="G43" s="355"/>
      <c r="H43" s="355"/>
      <c r="I43" s="356"/>
      <c r="J43" s="356"/>
      <c r="K43" s="356"/>
      <c r="L43" s="356"/>
    </row>
  </sheetData>
  <mergeCells count="43">
    <mergeCell ref="A2:D2"/>
    <mergeCell ref="A26:F26"/>
    <mergeCell ref="A25:F25"/>
    <mergeCell ref="A24:E24"/>
    <mergeCell ref="A23:D23"/>
    <mergeCell ref="A31:F31"/>
    <mergeCell ref="A30:F30"/>
    <mergeCell ref="A29:F29"/>
    <mergeCell ref="A28:F28"/>
    <mergeCell ref="A27:F27"/>
    <mergeCell ref="A19:E19"/>
    <mergeCell ref="A18:D18"/>
    <mergeCell ref="A22:E22"/>
    <mergeCell ref="A21:E21"/>
    <mergeCell ref="A20:D20"/>
    <mergeCell ref="A7:D7"/>
    <mergeCell ref="A17:E17"/>
    <mergeCell ref="A16:F16"/>
    <mergeCell ref="A15:F15"/>
    <mergeCell ref="A14:F14"/>
    <mergeCell ref="A13:F13"/>
    <mergeCell ref="A12:E12"/>
    <mergeCell ref="A43:E43"/>
    <mergeCell ref="A42:G42"/>
    <mergeCell ref="A41:H41"/>
    <mergeCell ref="A40:G40"/>
    <mergeCell ref="A39:G39"/>
    <mergeCell ref="A33:G33"/>
    <mergeCell ref="A32:F32"/>
    <mergeCell ref="A1:H1"/>
    <mergeCell ref="A38:F38"/>
    <mergeCell ref="A37:F37"/>
    <mergeCell ref="A36:F36"/>
    <mergeCell ref="A35:G35"/>
    <mergeCell ref="A34:G34"/>
    <mergeCell ref="A6:E6"/>
    <mergeCell ref="A5:D5"/>
    <mergeCell ref="A4:E4"/>
    <mergeCell ref="A3:E3"/>
    <mergeCell ref="A11:F11"/>
    <mergeCell ref="A10:F10"/>
    <mergeCell ref="A9:E9"/>
    <mergeCell ref="A8:G8"/>
  </mergeCells>
  <phoneticPr fontId="2" type="noConversion"/>
  <hyperlinks>
    <hyperlink ref="A3" location="'2-1-1'!Print_Area" display="表2-1-1　近10年地方檢察署新收刑事偵查案件之案件來源"/>
    <hyperlink ref="A4" location="'2-1-21'!Print_Area" display="表2-1-2　近10年地方檢察署新收自動檢舉案件數"/>
    <hyperlink ref="A5" location="'2-1-3'!A1" display="表2-1-3　近5年地方檢察署新收自動檢舉案件主要罪名"/>
    <hyperlink ref="A6" location="'2-1-4'!A1" display="表2-1-4　近6年地方檢察署新收刑事偵查案件數比較"/>
    <hyperlink ref="A7" location="'3-2-3'!A1" display="表3-2-3      111年少年刑事案件裁判結果"/>
    <hyperlink ref="A8" location="'3-2-4'!A1" display="表3-2-4　近10年地方法院（庭）審理終結之少年觸法、虞犯/曝險人數"/>
    <hyperlink ref="A9" location="'3-2-5'!A1" display="表3-2-5　近10年觸法少年交付保護處分之罪名"/>
    <hyperlink ref="A10" location="'3-2-6'!A1" display="表3-2-6　近10年觸法少年交付保護處分之性別與年齡"/>
    <hyperlink ref="A11" location="'3-2-7'!A1" display="表3-2-7　111年觸法少年交付保護處分之年齡與主要罪名"/>
    <hyperlink ref="A12" location="'3-2-8'!A1" display="表3-2-8　近10年觸法少年交付保護處分之教育程度"/>
    <hyperlink ref="A13" location="'3-2-9'!A1" display="表3-2-9　近10年觸法少年交付保護處分之性別與就業情形"/>
    <hyperlink ref="A14" location="'3-2-10'!A1" display="表3-2-10　近10年觸法少年交付保護處分之家庭經濟狀況"/>
    <hyperlink ref="A15" location="'3-2-11'!A1" display="表3-2-11　近10年觸法少年交付保護處分之父母現況"/>
    <hyperlink ref="A16" location="'3-2-12'!A1" display="表3-2-12　近10年觸法少年交付保護處分之父母婚姻狀況"/>
    <hyperlink ref="A17" location="'3-2-13'!A1" display="表3-2-13　近10年少年刑事案件性別與罪名"/>
    <hyperlink ref="A18" location="'3-2-14'!A1" display="表3-2-14　 近10年少年刑事案件年齡"/>
    <hyperlink ref="A19" location="'3-2-15'!A1" display="表3-2-15　111年少年刑事案件之年齡、性別與罪名"/>
    <hyperlink ref="A20" location="'3-2-16'!A1" display="表3-2-16　 近10年少年刑事案件教育程度"/>
    <hyperlink ref="A21" location="'3-2-17'!A1" display="表3-2-17　近10年少年刑事案件之性別與就業情形"/>
    <hyperlink ref="A22" location="'3-2-18'!A1" display="表3-2-18　近10年少年刑事案件家庭經濟狀況"/>
    <hyperlink ref="A23" location="'3-2-19'!A1" display="表3-2-19　近10年少年刑事案件父母現況"/>
    <hyperlink ref="A24" location="'3-2-20'!A1" display="表3-2-20     近10年少年刑事案件父母婚姻狀況"/>
    <hyperlink ref="A25" location="'3-2-21'!A1" display="表3-2-21　近10年曝險少年交付保護處分之性別與行為"/>
    <hyperlink ref="A26" location="'3-2-22'!A1" display="表3-2-22　近10年曝險少年交付保護處分之性別與年齡"/>
    <hyperlink ref="A27" location="'3-2-23'!A1" display="表3-2-23　近10年曝險少年交付保護處分之教育程度"/>
    <hyperlink ref="A28" location="'3-2-24'!A1" display="表3-2-24　近10年曝險少年交付保護處分之性別與就業情形"/>
    <hyperlink ref="A29" location="'3-2-25'!A1" display="表3-2-25　近10年曝險少年交付保護處分之家庭經濟狀況"/>
    <hyperlink ref="A30" location="'3-2-26'!A1" display="表3-2-26　近10年曝險少年交付保護處分之父母現況"/>
    <hyperlink ref="A31" location="'3-2-27'!A1" display="表3-2-27 　近10年曝險少年交付保護處分之父母婚姻狀況"/>
    <hyperlink ref="A32" location="'3-3-1'!A1" display="表 3-3-1　近5年少年觀護所新入所收容/羈押人數與性別"/>
    <hyperlink ref="A33" location="'3-3-2'!A1" display="表 3-3-2　近5年少年觀護所新入所收容/羈押少年之性別與年齡"/>
    <hyperlink ref="A34" location="'3-3-3'!A1" display="表 3-3-3　近5年少年觀護所新入所收容/羈押少年之性別與教育程度"/>
    <hyperlink ref="A35" location="'3-3-4'!A1" display="表 3-3-4　近5年少年觀護所新入所收容/羈押少年之性別與家庭經濟狀況"/>
    <hyperlink ref="A36" location="'3-3-5'!A1" display="表 3-3-5　近5年少年觀護所新入所收容/羈押少年之性別與罪名"/>
    <hyperlink ref="A37" location="'3-3-6'!A1" display="表 3-3-6　近5年少年矯正學校新入校受感化教育學生之性別"/>
    <hyperlink ref="A38" location="'3-3-7'!A1" display="表 3-3-7　近5年少年矯正學校實際出校的感化教育學生之性別"/>
    <hyperlink ref="A39" location="'3-3-8'!A1" display="表 3-3-8　近5年少年矯正學校新入校受感化教育學生之性別與年齡"/>
    <hyperlink ref="A40" location="'3-3-9'!A1" display="表 3-3-9　近5年少年矯正學校新入校受感化教育學生之性別與教育程度"/>
    <hyperlink ref="A41" location="'3-3-10'!A1" display="表 3-3-10　近5年少年矯正學校新入校受感化教育學生之性別與家庭經濟狀況"/>
    <hyperlink ref="A42" location="'3-3-11'!A1" display="表 3-3-11　近5年少年矯正學校新入校受感化教育學生之性別與罪名"/>
    <hyperlink ref="A43" location="'3-3-12'!A1" display="表3-3-12　近5年明陽中學在校少年受刑人之性別"/>
    <hyperlink ref="A2" location="本篇表次對應少年事件程序圖!A1" display="本篇表次對應少年事件程序圖"/>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27"/>
  <sheetViews>
    <sheetView showGridLines="0" zoomScale="90" zoomScaleNormal="90" workbookViewId="0">
      <pane xSplit="1" topLeftCell="B1" activePane="topRight" state="frozen"/>
      <selection pane="topRight" activeCell="L1" sqref="L1"/>
    </sheetView>
  </sheetViews>
  <sheetFormatPr defaultColWidth="9.375" defaultRowHeight="16.5"/>
  <cols>
    <col min="1" max="1" width="21.875" customWidth="1"/>
    <col min="2" max="2" width="10.125" customWidth="1"/>
    <col min="4" max="4" width="8.375" customWidth="1"/>
    <col min="6" max="6" width="11.125" customWidth="1"/>
    <col min="8" max="8" width="11.125" customWidth="1"/>
    <col min="10" max="10" width="10.125" customWidth="1"/>
    <col min="12" max="12" width="12.625" bestFit="1" customWidth="1"/>
  </cols>
  <sheetData>
    <row r="1" spans="1:12" ht="23.25" customHeight="1">
      <c r="A1" s="373" t="s">
        <v>267</v>
      </c>
      <c r="B1" s="373"/>
      <c r="C1" s="373"/>
      <c r="D1" s="373"/>
      <c r="E1" s="373"/>
      <c r="F1" s="373"/>
      <c r="G1" s="373"/>
      <c r="H1" s="373"/>
      <c r="I1" s="373"/>
      <c r="J1" s="373"/>
      <c r="K1" s="373"/>
      <c r="L1" s="348" t="s">
        <v>644</v>
      </c>
    </row>
    <row r="2" spans="1:12" ht="20.100000000000001" customHeight="1">
      <c r="A2" s="19"/>
      <c r="B2" s="378" t="s">
        <v>49</v>
      </c>
      <c r="C2" s="378"/>
      <c r="D2" s="378" t="s">
        <v>50</v>
      </c>
      <c r="E2" s="452"/>
      <c r="F2" s="378" t="s">
        <v>51</v>
      </c>
      <c r="G2" s="452"/>
      <c r="H2" s="378" t="s">
        <v>52</v>
      </c>
      <c r="I2" s="378"/>
      <c r="J2" s="378" t="s">
        <v>268</v>
      </c>
      <c r="K2" s="378"/>
    </row>
    <row r="3" spans="1:12" ht="20.100000000000001" customHeight="1">
      <c r="A3" s="5"/>
      <c r="B3" s="10" t="s">
        <v>122</v>
      </c>
      <c r="C3" s="10" t="s">
        <v>106</v>
      </c>
      <c r="D3" s="10" t="s">
        <v>122</v>
      </c>
      <c r="E3" s="10" t="s">
        <v>106</v>
      </c>
      <c r="F3" s="10" t="s">
        <v>122</v>
      </c>
      <c r="G3" s="10" t="s">
        <v>106</v>
      </c>
      <c r="H3" s="10" t="s">
        <v>122</v>
      </c>
      <c r="I3" s="10" t="s">
        <v>106</v>
      </c>
      <c r="J3" s="10" t="s">
        <v>122</v>
      </c>
      <c r="K3" s="10" t="s">
        <v>106</v>
      </c>
    </row>
    <row r="4" spans="1:12" ht="20.100000000000001" customHeight="1">
      <c r="A4" s="59" t="s">
        <v>65</v>
      </c>
      <c r="B4" s="6">
        <f>SUM(B5:B6)</f>
        <v>10374</v>
      </c>
      <c r="C4" s="39">
        <f t="shared" ref="C4:C13" si="0">B4/B$4*100</f>
        <v>100</v>
      </c>
      <c r="D4" s="32">
        <f>SUM(D5:D6)</f>
        <v>9359</v>
      </c>
      <c r="E4" s="39">
        <f t="shared" ref="E4:E13" si="1">D4/D$4*100</f>
        <v>100</v>
      </c>
      <c r="F4" s="32">
        <f>SUM(F5+F6)</f>
        <v>8568</v>
      </c>
      <c r="G4" s="39">
        <f>SUM(G7:G13)</f>
        <v>100</v>
      </c>
      <c r="H4" s="32">
        <f>SUM(H5:H6)</f>
        <v>8132</v>
      </c>
      <c r="I4" s="39">
        <f t="shared" ref="I4:I13" si="2">H4/H$4*100</f>
        <v>100</v>
      </c>
      <c r="J4" s="32">
        <f>SUM(J5,J6)</f>
        <v>8448</v>
      </c>
      <c r="K4" s="39">
        <f t="shared" ref="K4:K13" si="3">J4/J$4*100</f>
        <v>100</v>
      </c>
    </row>
    <row r="5" spans="1:12" ht="15.95" customHeight="1">
      <c r="A5" s="60" t="s">
        <v>269</v>
      </c>
      <c r="B5" s="6">
        <v>8961</v>
      </c>
      <c r="C5" s="39">
        <f t="shared" si="0"/>
        <v>86.379410063620583</v>
      </c>
      <c r="D5" s="61">
        <v>8144</v>
      </c>
      <c r="E5" s="39">
        <f t="shared" si="1"/>
        <v>87.017843786729358</v>
      </c>
      <c r="F5" s="61">
        <v>7410</v>
      </c>
      <c r="G5" s="39">
        <f t="shared" ref="G5:G13" si="4">F5/F$4*100</f>
        <v>86.484593837535016</v>
      </c>
      <c r="H5" s="61">
        <v>7042</v>
      </c>
      <c r="I5" s="39">
        <f t="shared" si="2"/>
        <v>86.59616330545991</v>
      </c>
      <c r="J5" s="6">
        <v>7351</v>
      </c>
      <c r="K5" s="39">
        <f t="shared" si="3"/>
        <v>87.014678030303031</v>
      </c>
    </row>
    <row r="6" spans="1:12" ht="17.100000000000001" customHeight="1">
      <c r="A6" s="62" t="s">
        <v>270</v>
      </c>
      <c r="B6" s="8">
        <v>1413</v>
      </c>
      <c r="C6" s="52">
        <f t="shared" si="0"/>
        <v>13.62058993637941</v>
      </c>
      <c r="D6" s="63">
        <v>1215</v>
      </c>
      <c r="E6" s="52">
        <f t="shared" si="1"/>
        <v>12.982156213270649</v>
      </c>
      <c r="F6" s="63">
        <v>1158</v>
      </c>
      <c r="G6" s="52">
        <f t="shared" si="4"/>
        <v>13.515406162464986</v>
      </c>
      <c r="H6" s="63">
        <v>1090</v>
      </c>
      <c r="I6" s="52">
        <f t="shared" si="2"/>
        <v>13.40383669454009</v>
      </c>
      <c r="J6" s="8">
        <v>1097</v>
      </c>
      <c r="K6" s="52">
        <f t="shared" si="3"/>
        <v>12.985321969696969</v>
      </c>
    </row>
    <row r="7" spans="1:12" ht="20.100000000000001" customHeight="1">
      <c r="A7" s="27" t="s">
        <v>271</v>
      </c>
      <c r="B7" s="6">
        <v>4</v>
      </c>
      <c r="C7" s="39">
        <f t="shared" si="0"/>
        <v>3.8557933294775401E-2</v>
      </c>
      <c r="D7" s="6">
        <v>2</v>
      </c>
      <c r="E7" s="39">
        <f t="shared" si="1"/>
        <v>2.1369804466289135E-2</v>
      </c>
      <c r="F7" s="6">
        <v>5</v>
      </c>
      <c r="G7" s="39">
        <f t="shared" si="4"/>
        <v>5.8356676003734828E-2</v>
      </c>
      <c r="H7" s="6">
        <v>6</v>
      </c>
      <c r="I7" s="39">
        <f t="shared" si="2"/>
        <v>7.3782587309394979E-2</v>
      </c>
      <c r="J7" s="6">
        <v>7</v>
      </c>
      <c r="K7" s="39">
        <f t="shared" si="3"/>
        <v>8.2859848484848481E-2</v>
      </c>
    </row>
    <row r="8" spans="1:12" ht="20.100000000000001" customHeight="1">
      <c r="A8" s="27" t="s">
        <v>272</v>
      </c>
      <c r="B8" s="6">
        <v>401</v>
      </c>
      <c r="C8" s="39">
        <f t="shared" si="0"/>
        <v>3.8654328128012336</v>
      </c>
      <c r="D8" s="6">
        <v>383</v>
      </c>
      <c r="E8" s="39">
        <f t="shared" si="1"/>
        <v>4.0923175552943691</v>
      </c>
      <c r="F8" s="6">
        <v>315</v>
      </c>
      <c r="G8" s="39">
        <f t="shared" si="4"/>
        <v>3.6764705882352944</v>
      </c>
      <c r="H8" s="6">
        <v>265</v>
      </c>
      <c r="I8" s="39">
        <f t="shared" si="2"/>
        <v>3.2587309394982786</v>
      </c>
      <c r="J8" s="6">
        <v>259</v>
      </c>
      <c r="K8" s="39">
        <f t="shared" si="3"/>
        <v>3.065814393939394</v>
      </c>
    </row>
    <row r="9" spans="1:12" ht="20.100000000000001" customHeight="1">
      <c r="A9" s="27" t="s">
        <v>273</v>
      </c>
      <c r="B9" s="6">
        <v>875</v>
      </c>
      <c r="C9" s="39">
        <f t="shared" si="0"/>
        <v>8.4345479082321191</v>
      </c>
      <c r="D9" s="6">
        <v>870</v>
      </c>
      <c r="E9" s="39">
        <f t="shared" si="1"/>
        <v>9.295864942835772</v>
      </c>
      <c r="F9" s="6">
        <v>746</v>
      </c>
      <c r="G9" s="39">
        <f t="shared" si="4"/>
        <v>8.7068160597572355</v>
      </c>
      <c r="H9" s="6">
        <v>614</v>
      </c>
      <c r="I9" s="39">
        <f t="shared" si="2"/>
        <v>7.5504181013280869</v>
      </c>
      <c r="J9" s="6">
        <v>592</v>
      </c>
      <c r="K9" s="39">
        <f t="shared" si="3"/>
        <v>7.0075757575757569</v>
      </c>
    </row>
    <row r="10" spans="1:12" ht="20.100000000000001" customHeight="1">
      <c r="A10" s="27" t="s">
        <v>274</v>
      </c>
      <c r="B10" s="6">
        <v>1476</v>
      </c>
      <c r="C10" s="39">
        <f t="shared" si="0"/>
        <v>14.227877385772123</v>
      </c>
      <c r="D10" s="6">
        <v>1344</v>
      </c>
      <c r="E10" s="39">
        <f t="shared" si="1"/>
        <v>14.360508601346297</v>
      </c>
      <c r="F10" s="6">
        <v>1192</v>
      </c>
      <c r="G10" s="39">
        <f t="shared" si="4"/>
        <v>13.912231559290383</v>
      </c>
      <c r="H10" s="6">
        <v>1134</v>
      </c>
      <c r="I10" s="39">
        <f t="shared" si="2"/>
        <v>13.944909001475652</v>
      </c>
      <c r="J10" s="6">
        <v>1011</v>
      </c>
      <c r="K10" s="39">
        <f t="shared" si="3"/>
        <v>11.967329545454545</v>
      </c>
    </row>
    <row r="11" spans="1:12" ht="20.100000000000001" customHeight="1">
      <c r="A11" s="27" t="s">
        <v>275</v>
      </c>
      <c r="B11" s="6">
        <v>1945</v>
      </c>
      <c r="C11" s="39">
        <f t="shared" si="0"/>
        <v>18.748795064584538</v>
      </c>
      <c r="D11" s="6">
        <v>1601</v>
      </c>
      <c r="E11" s="39">
        <f t="shared" si="1"/>
        <v>17.106528475264451</v>
      </c>
      <c r="F11" s="6">
        <v>1519</v>
      </c>
      <c r="G11" s="39">
        <f t="shared" si="4"/>
        <v>17.72875816993464</v>
      </c>
      <c r="H11" s="6">
        <v>1543</v>
      </c>
      <c r="I11" s="39">
        <f t="shared" si="2"/>
        <v>18.97442203639941</v>
      </c>
      <c r="J11" s="6">
        <v>1610</v>
      </c>
      <c r="K11" s="39">
        <f t="shared" si="3"/>
        <v>19.057765151515152</v>
      </c>
    </row>
    <row r="12" spans="1:12" ht="20.100000000000001" customHeight="1">
      <c r="A12" s="27" t="s">
        <v>276</v>
      </c>
      <c r="B12" s="6">
        <v>2621</v>
      </c>
      <c r="C12" s="39">
        <f t="shared" si="0"/>
        <v>25.265085791401582</v>
      </c>
      <c r="D12" s="6">
        <v>2205</v>
      </c>
      <c r="E12" s="39">
        <f t="shared" si="1"/>
        <v>23.560209424083769</v>
      </c>
      <c r="F12" s="6">
        <v>1908</v>
      </c>
      <c r="G12" s="39">
        <f t="shared" si="4"/>
        <v>22.268907563025213</v>
      </c>
      <c r="H12" s="6">
        <v>2015</v>
      </c>
      <c r="I12" s="39">
        <f t="shared" si="2"/>
        <v>24.778652238071817</v>
      </c>
      <c r="J12" s="6">
        <v>2172</v>
      </c>
      <c r="K12" s="39">
        <f t="shared" si="3"/>
        <v>25.71022727272727</v>
      </c>
    </row>
    <row r="13" spans="1:12" ht="20.100000000000001" customHeight="1" thickBot="1">
      <c r="A13" s="38" t="s">
        <v>277</v>
      </c>
      <c r="B13" s="6">
        <v>3052</v>
      </c>
      <c r="C13" s="39">
        <f t="shared" si="0"/>
        <v>29.41970310391363</v>
      </c>
      <c r="D13" s="6">
        <v>2954</v>
      </c>
      <c r="E13" s="39">
        <f t="shared" si="1"/>
        <v>31.563201196709052</v>
      </c>
      <c r="F13" s="6">
        <v>2883</v>
      </c>
      <c r="G13" s="64">
        <f t="shared" si="4"/>
        <v>33.648459383753504</v>
      </c>
      <c r="H13" s="8">
        <v>2555</v>
      </c>
      <c r="I13" s="39">
        <f t="shared" si="2"/>
        <v>31.419085095917364</v>
      </c>
      <c r="J13" s="29">
        <v>2797</v>
      </c>
      <c r="K13" s="64">
        <f t="shared" si="3"/>
        <v>33.108428030303031</v>
      </c>
    </row>
    <row r="14" spans="1:12" ht="20.100000000000001" customHeight="1">
      <c r="A14" s="31"/>
      <c r="B14" s="449" t="s">
        <v>54</v>
      </c>
      <c r="C14" s="453"/>
      <c r="D14" s="449" t="s">
        <v>55</v>
      </c>
      <c r="E14" s="453"/>
      <c r="F14" s="449" t="s">
        <v>56</v>
      </c>
      <c r="G14" s="453"/>
      <c r="H14" s="449" t="s">
        <v>123</v>
      </c>
      <c r="I14" s="449"/>
      <c r="J14" s="450" t="s">
        <v>119</v>
      </c>
      <c r="K14" s="451"/>
    </row>
    <row r="15" spans="1:12" ht="20.100000000000001" customHeight="1">
      <c r="A15" s="5"/>
      <c r="B15" s="10" t="s">
        <v>122</v>
      </c>
      <c r="C15" s="10" t="s">
        <v>106</v>
      </c>
      <c r="D15" s="10" t="s">
        <v>122</v>
      </c>
      <c r="E15" s="10" t="s">
        <v>106</v>
      </c>
      <c r="F15" s="10" t="s">
        <v>122</v>
      </c>
      <c r="G15" s="10" t="s">
        <v>106</v>
      </c>
      <c r="H15" s="10" t="s">
        <v>122</v>
      </c>
      <c r="I15" s="10" t="s">
        <v>106</v>
      </c>
      <c r="J15" s="7" t="s">
        <v>278</v>
      </c>
      <c r="K15" s="7" t="s">
        <v>279</v>
      </c>
    </row>
    <row r="16" spans="1:12" ht="20.100000000000001" customHeight="1">
      <c r="A16" s="59" t="s">
        <v>65</v>
      </c>
      <c r="B16" s="32">
        <f>SUM(B17,B18)</f>
        <v>7944</v>
      </c>
      <c r="C16" s="39">
        <f t="shared" ref="C16:C25" si="5">B16/B$16*100</f>
        <v>100</v>
      </c>
      <c r="D16" s="32">
        <f>SUM(D19:D25)</f>
        <v>7829</v>
      </c>
      <c r="E16" s="100">
        <f>SUM(E17:E18)</f>
        <v>100</v>
      </c>
      <c r="F16" s="32">
        <f>SUM(F19:F25)</f>
        <v>8765</v>
      </c>
      <c r="G16" s="100">
        <f>SUM(G17:G18)</f>
        <v>100.00000000000001</v>
      </c>
      <c r="H16" s="32">
        <f>SUM(H19:H25)</f>
        <v>8121</v>
      </c>
      <c r="I16" s="100">
        <f>SUM(I17:I18)</f>
        <v>100</v>
      </c>
      <c r="J16" s="32">
        <v>8987</v>
      </c>
      <c r="K16" s="227">
        <f>SUM(K17:K18)</f>
        <v>100</v>
      </c>
    </row>
    <row r="17" spans="1:11">
      <c r="A17" s="60" t="s">
        <v>269</v>
      </c>
      <c r="B17" s="61">
        <v>6907</v>
      </c>
      <c r="C17" s="39">
        <f t="shared" si="5"/>
        <v>86.946122860020139</v>
      </c>
      <c r="D17" s="61">
        <v>6803</v>
      </c>
      <c r="E17" s="101">
        <f t="shared" ref="E17:E25" si="6">D17/D$16*100</f>
        <v>86.89487801762678</v>
      </c>
      <c r="F17" s="6">
        <f>7009+602</f>
        <v>7611</v>
      </c>
      <c r="G17" s="101">
        <f>F17/F$16*100</f>
        <v>86.833998859098699</v>
      </c>
      <c r="H17" s="6">
        <f>6501+530</f>
        <v>7031</v>
      </c>
      <c r="I17" s="101">
        <f>H17/H$16*100</f>
        <v>86.578007634527765</v>
      </c>
      <c r="J17" s="6">
        <f>7068+712</f>
        <v>7780</v>
      </c>
      <c r="K17" s="227">
        <f>J17/J$16*100</f>
        <v>86.569489262267723</v>
      </c>
    </row>
    <row r="18" spans="1:11" ht="17.100000000000001" customHeight="1">
      <c r="A18" s="62" t="s">
        <v>270</v>
      </c>
      <c r="B18" s="63">
        <v>1037</v>
      </c>
      <c r="C18" s="52">
        <f t="shared" si="5"/>
        <v>13.053877139979859</v>
      </c>
      <c r="D18" s="63">
        <v>1026</v>
      </c>
      <c r="E18" s="102">
        <f t="shared" si="6"/>
        <v>13.105121982373227</v>
      </c>
      <c r="F18" s="8">
        <f>1005+149</f>
        <v>1154</v>
      </c>
      <c r="G18" s="102">
        <f>F18/F$16*100</f>
        <v>13.166001140901312</v>
      </c>
      <c r="H18" s="8">
        <f>961+129</f>
        <v>1090</v>
      </c>
      <c r="I18" s="102">
        <f>H18/H$16*100</f>
        <v>13.421992365472232</v>
      </c>
      <c r="J18" s="8">
        <f>1010+197</f>
        <v>1207</v>
      </c>
      <c r="K18" s="228">
        <f t="shared" ref="K18:K25" si="7">J18/J$16*100</f>
        <v>13.430510737732279</v>
      </c>
    </row>
    <row r="19" spans="1:11" ht="20.100000000000001" customHeight="1">
      <c r="A19" s="27" t="s">
        <v>271</v>
      </c>
      <c r="B19" s="6">
        <v>6</v>
      </c>
      <c r="C19" s="39">
        <f t="shared" si="5"/>
        <v>7.5528700906344406E-2</v>
      </c>
      <c r="D19" s="6">
        <v>4</v>
      </c>
      <c r="E19" s="101">
        <f t="shared" si="6"/>
        <v>5.1092093498531103E-2</v>
      </c>
      <c r="F19" s="6" t="s">
        <v>80</v>
      </c>
      <c r="G19" s="101" t="s">
        <v>80</v>
      </c>
      <c r="H19" s="6" t="s">
        <v>280</v>
      </c>
      <c r="I19" s="101" t="s">
        <v>80</v>
      </c>
      <c r="J19" s="6" t="s">
        <v>280</v>
      </c>
      <c r="K19" s="6" t="s">
        <v>280</v>
      </c>
    </row>
    <row r="20" spans="1:11" ht="20.100000000000001" customHeight="1">
      <c r="A20" s="27" t="s">
        <v>272</v>
      </c>
      <c r="B20" s="6">
        <v>223</v>
      </c>
      <c r="C20" s="39">
        <f t="shared" si="5"/>
        <v>2.8071500503524671</v>
      </c>
      <c r="D20" s="6">
        <f>208+24</f>
        <v>232</v>
      </c>
      <c r="E20" s="101">
        <f t="shared" si="6"/>
        <v>2.9633414229148038</v>
      </c>
      <c r="F20" s="6">
        <f>227+20</f>
        <v>247</v>
      </c>
      <c r="G20" s="101">
        <f t="shared" ref="G20:G25" si="8">F20/F$16*100</f>
        <v>2.8180262407301768</v>
      </c>
      <c r="H20" s="6">
        <v>202</v>
      </c>
      <c r="I20" s="101">
        <f t="shared" ref="I20:I25" si="9">H20/H$16*100</f>
        <v>2.4873784016746709</v>
      </c>
      <c r="J20" s="6">
        <f>223+27</f>
        <v>250</v>
      </c>
      <c r="K20" s="227">
        <f t="shared" si="7"/>
        <v>2.7817959274507622</v>
      </c>
    </row>
    <row r="21" spans="1:11" ht="20.100000000000001" customHeight="1">
      <c r="A21" s="27" t="s">
        <v>273</v>
      </c>
      <c r="B21" s="6">
        <v>466</v>
      </c>
      <c r="C21" s="39">
        <f t="shared" si="5"/>
        <v>5.8660624370594157</v>
      </c>
      <c r="D21" s="6">
        <f>477+31</f>
        <v>508</v>
      </c>
      <c r="E21" s="101">
        <f t="shared" si="6"/>
        <v>6.4886958743134509</v>
      </c>
      <c r="F21" s="6">
        <f>497+68</f>
        <v>565</v>
      </c>
      <c r="G21" s="101">
        <f t="shared" si="8"/>
        <v>6.4460924130062756</v>
      </c>
      <c r="H21" s="6">
        <v>581</v>
      </c>
      <c r="I21" s="101">
        <f t="shared" si="9"/>
        <v>7.1542913434306117</v>
      </c>
      <c r="J21" s="6">
        <f>497+104</f>
        <v>601</v>
      </c>
      <c r="K21" s="227">
        <f t="shared" si="7"/>
        <v>6.6874374095916318</v>
      </c>
    </row>
    <row r="22" spans="1:11" ht="20.100000000000001" customHeight="1">
      <c r="A22" s="27" t="s">
        <v>274</v>
      </c>
      <c r="B22" s="6">
        <v>901</v>
      </c>
      <c r="C22" s="39">
        <f t="shared" si="5"/>
        <v>11.341893252769387</v>
      </c>
      <c r="D22" s="6">
        <f>850+80</f>
        <v>930</v>
      </c>
      <c r="E22" s="101">
        <f t="shared" si="6"/>
        <v>11.878911738408481</v>
      </c>
      <c r="F22" s="6">
        <f>1059+118</f>
        <v>1177</v>
      </c>
      <c r="G22" s="101">
        <f t="shared" si="8"/>
        <v>13.42840844266971</v>
      </c>
      <c r="H22" s="6">
        <v>1068</v>
      </c>
      <c r="I22" s="101">
        <f t="shared" si="9"/>
        <v>13.15108976727004</v>
      </c>
      <c r="J22" s="6">
        <f>1018+173</f>
        <v>1191</v>
      </c>
      <c r="K22" s="227">
        <f t="shared" si="7"/>
        <v>13.252475798375432</v>
      </c>
    </row>
    <row r="23" spans="1:11" ht="20.100000000000001" customHeight="1">
      <c r="A23" s="27" t="s">
        <v>275</v>
      </c>
      <c r="B23" s="6">
        <v>1312</v>
      </c>
      <c r="C23" s="39">
        <f t="shared" si="5"/>
        <v>16.515609264853978</v>
      </c>
      <c r="D23" s="6">
        <f>1281+118</f>
        <v>1399</v>
      </c>
      <c r="E23" s="101">
        <f t="shared" si="6"/>
        <v>17.869459701111253</v>
      </c>
      <c r="F23" s="6">
        <f>1464+144</f>
        <v>1608</v>
      </c>
      <c r="G23" s="101">
        <f t="shared" si="8"/>
        <v>18.345693097547063</v>
      </c>
      <c r="H23" s="6">
        <v>1480</v>
      </c>
      <c r="I23" s="101">
        <f t="shared" si="9"/>
        <v>18.22435660632927</v>
      </c>
      <c r="J23" s="6">
        <f>1569+182</f>
        <v>1751</v>
      </c>
      <c r="K23" s="227">
        <f t="shared" si="7"/>
        <v>19.483698675865138</v>
      </c>
    </row>
    <row r="24" spans="1:11" ht="20.100000000000001" customHeight="1">
      <c r="A24" s="27" t="s">
        <v>276</v>
      </c>
      <c r="B24" s="6">
        <v>2092</v>
      </c>
      <c r="C24" s="39">
        <f t="shared" si="5"/>
        <v>26.33434038267875</v>
      </c>
      <c r="D24" s="6">
        <f>1815+151</f>
        <v>1966</v>
      </c>
      <c r="E24" s="101">
        <f t="shared" si="6"/>
        <v>25.111763954528037</v>
      </c>
      <c r="F24" s="6">
        <f>2034+164</f>
        <v>2198</v>
      </c>
      <c r="G24" s="101">
        <f t="shared" si="8"/>
        <v>25.077010838562465</v>
      </c>
      <c r="H24" s="6">
        <v>2057</v>
      </c>
      <c r="I24" s="101">
        <f t="shared" si="9"/>
        <v>25.329392931904938</v>
      </c>
      <c r="J24" s="6">
        <f>2045+184</f>
        <v>2229</v>
      </c>
      <c r="K24" s="227">
        <f t="shared" si="7"/>
        <v>24.802492489150996</v>
      </c>
    </row>
    <row r="25" spans="1:11" ht="20.100000000000001" customHeight="1">
      <c r="A25" s="38" t="s">
        <v>277</v>
      </c>
      <c r="B25" s="8">
        <v>2944</v>
      </c>
      <c r="C25" s="52">
        <f t="shared" si="5"/>
        <v>37.059415911379659</v>
      </c>
      <c r="D25" s="8">
        <f>2534+256</f>
        <v>2790</v>
      </c>
      <c r="E25" s="102">
        <f t="shared" si="6"/>
        <v>35.636735215225443</v>
      </c>
      <c r="F25" s="8">
        <f>2733+237</f>
        <v>2970</v>
      </c>
      <c r="G25" s="102">
        <f t="shared" si="8"/>
        <v>33.884768967484312</v>
      </c>
      <c r="H25" s="8">
        <v>2733</v>
      </c>
      <c r="I25" s="102">
        <f t="shared" si="9"/>
        <v>33.653490949390466</v>
      </c>
      <c r="J25" s="8">
        <f>2726+239</f>
        <v>2965</v>
      </c>
      <c r="K25" s="228">
        <f t="shared" si="7"/>
        <v>32.99209969956604</v>
      </c>
    </row>
    <row r="26" spans="1:11" ht="15.95" customHeight="1">
      <c r="A26" s="447" t="s">
        <v>184</v>
      </c>
      <c r="B26" s="448"/>
      <c r="C26" s="448"/>
      <c r="D26" s="59"/>
      <c r="E26" s="103"/>
      <c r="F26" s="59"/>
      <c r="G26" s="59"/>
      <c r="H26" s="104"/>
      <c r="I26" s="59"/>
      <c r="J26" s="59"/>
      <c r="K26" s="59"/>
    </row>
    <row r="27" spans="1:11">
      <c r="A27" s="446" t="s">
        <v>631</v>
      </c>
      <c r="B27" s="446"/>
      <c r="C27" s="446"/>
      <c r="D27" s="446"/>
      <c r="E27" s="446"/>
      <c r="F27" s="446"/>
      <c r="G27" s="446"/>
      <c r="H27" s="446"/>
      <c r="I27" s="446"/>
      <c r="J27" s="446"/>
      <c r="K27" s="446"/>
    </row>
  </sheetData>
  <mergeCells count="13">
    <mergeCell ref="A26:C26"/>
    <mergeCell ref="A27:K27"/>
    <mergeCell ref="A1:K1"/>
    <mergeCell ref="B2:C2"/>
    <mergeCell ref="H2:I2"/>
    <mergeCell ref="J2:K2"/>
    <mergeCell ref="H14:I14"/>
    <mergeCell ref="J14:K14"/>
    <mergeCell ref="D2:E2"/>
    <mergeCell ref="F2:G2"/>
    <mergeCell ref="F14:G14"/>
    <mergeCell ref="B14:C14"/>
    <mergeCell ref="D14:E14"/>
  </mergeCells>
  <phoneticPr fontId="2" type="noConversion"/>
  <hyperlinks>
    <hyperlink ref="L1" location="本篇表次!A1" display="回本篇表次"/>
  </hyperlinks>
  <printOptions horizontalCentered="1" verticalCentered="1"/>
  <pageMargins left="0.70866141732283472" right="0.70866141732283472" top="0.74803149606299213" bottom="0.74803149606299213" header="0.31496062992125984" footer="0.31496062992125984"/>
  <pageSetup paperSize="224" scale="75"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55"/>
  <sheetViews>
    <sheetView showGridLines="0" zoomScale="70" zoomScaleNormal="70" workbookViewId="0">
      <pane xSplit="1" ySplit="2" topLeftCell="B3" activePane="bottomRight" state="frozen"/>
      <selection pane="topRight" activeCell="B1" sqref="B1"/>
      <selection pane="bottomLeft" activeCell="A3" sqref="A3"/>
      <selection pane="bottomRight" activeCell="P1" sqref="P1"/>
    </sheetView>
  </sheetViews>
  <sheetFormatPr defaultColWidth="11" defaultRowHeight="15.75"/>
  <cols>
    <col min="1" max="1" width="27.125" style="258" bestFit="1" customWidth="1"/>
    <col min="2" max="3" width="9" style="258" customWidth="1"/>
    <col min="4" max="15" width="9.875" style="258" customWidth="1"/>
    <col min="16" max="16" width="13.375" style="258" bestFit="1" customWidth="1"/>
    <col min="17" max="16384" width="11" style="258"/>
  </cols>
  <sheetData>
    <row r="1" spans="1:16" ht="24" customHeight="1">
      <c r="A1" s="456" t="s">
        <v>221</v>
      </c>
      <c r="B1" s="456"/>
      <c r="C1" s="456"/>
      <c r="D1" s="456"/>
      <c r="E1" s="456"/>
      <c r="F1" s="456"/>
      <c r="G1" s="456"/>
      <c r="H1" s="456"/>
      <c r="I1" s="456"/>
      <c r="J1" s="456"/>
      <c r="K1" s="456"/>
      <c r="L1" s="456"/>
      <c r="M1" s="456"/>
      <c r="N1" s="456"/>
      <c r="O1" s="456"/>
      <c r="P1" s="348" t="s">
        <v>644</v>
      </c>
    </row>
    <row r="2" spans="1:16" ht="20.100000000000001" customHeight="1">
      <c r="A2" s="457"/>
      <c r="B2" s="459" t="s">
        <v>157</v>
      </c>
      <c r="C2" s="459"/>
      <c r="D2" s="459" t="s">
        <v>618</v>
      </c>
      <c r="E2" s="459"/>
      <c r="F2" s="460" t="s">
        <v>619</v>
      </c>
      <c r="G2" s="460"/>
      <c r="H2" s="460" t="s">
        <v>620</v>
      </c>
      <c r="I2" s="460"/>
      <c r="J2" s="460" t="s">
        <v>621</v>
      </c>
      <c r="K2" s="460"/>
      <c r="L2" s="460" t="s">
        <v>622</v>
      </c>
      <c r="M2" s="460"/>
      <c r="N2" s="460" t="s">
        <v>623</v>
      </c>
      <c r="O2" s="460"/>
    </row>
    <row r="3" spans="1:16" ht="20.100000000000001" customHeight="1">
      <c r="A3" s="458"/>
      <c r="B3" s="259" t="s">
        <v>222</v>
      </c>
      <c r="C3" s="260" t="s">
        <v>106</v>
      </c>
      <c r="D3" s="261" t="s">
        <v>222</v>
      </c>
      <c r="E3" s="260" t="s">
        <v>106</v>
      </c>
      <c r="F3" s="259" t="s">
        <v>222</v>
      </c>
      <c r="G3" s="260" t="s">
        <v>106</v>
      </c>
      <c r="H3" s="259" t="s">
        <v>222</v>
      </c>
      <c r="I3" s="260" t="s">
        <v>106</v>
      </c>
      <c r="J3" s="259" t="s">
        <v>222</v>
      </c>
      <c r="K3" s="260" t="s">
        <v>106</v>
      </c>
      <c r="L3" s="259" t="s">
        <v>222</v>
      </c>
      <c r="M3" s="260" t="s">
        <v>106</v>
      </c>
      <c r="N3" s="259" t="s">
        <v>222</v>
      </c>
      <c r="O3" s="260" t="s">
        <v>106</v>
      </c>
    </row>
    <row r="4" spans="1:16" ht="20.100000000000001" customHeight="1">
      <c r="A4" s="262" t="s">
        <v>157</v>
      </c>
      <c r="B4" s="263">
        <f>SUM(D4,F4,H4,J4,L4,N4)</f>
        <v>8987</v>
      </c>
      <c r="C4" s="264">
        <f t="shared" ref="C4:N4" si="0">SUM(C5:C52)</f>
        <v>99.999999999999972</v>
      </c>
      <c r="D4" s="263">
        <f t="shared" si="0"/>
        <v>250</v>
      </c>
      <c r="E4" s="264">
        <f t="shared" si="0"/>
        <v>100.00000000000001</v>
      </c>
      <c r="F4" s="263">
        <f t="shared" si="0"/>
        <v>601</v>
      </c>
      <c r="G4" s="264">
        <f t="shared" si="0"/>
        <v>100.00000000000006</v>
      </c>
      <c r="H4" s="263">
        <f t="shared" si="0"/>
        <v>1191</v>
      </c>
      <c r="I4" s="264">
        <f>SUM(I5:I52)</f>
        <v>100.00000000000001</v>
      </c>
      <c r="J4" s="263">
        <f t="shared" si="0"/>
        <v>1751</v>
      </c>
      <c r="K4" s="264">
        <f t="shared" si="0"/>
        <v>100.00000000000006</v>
      </c>
      <c r="L4" s="263">
        <f t="shared" si="0"/>
        <v>2229</v>
      </c>
      <c r="M4" s="264">
        <f t="shared" si="0"/>
        <v>99.999999999999943</v>
      </c>
      <c r="N4" s="263">
        <f t="shared" si="0"/>
        <v>2965</v>
      </c>
      <c r="O4" s="264">
        <f>SUM(O5:O51)</f>
        <v>99.999999999999957</v>
      </c>
    </row>
    <row r="5" spans="1:16" ht="20.100000000000001" customHeight="1">
      <c r="A5" s="262" t="s">
        <v>223</v>
      </c>
      <c r="B5" s="265">
        <f t="shared" ref="B5:B52" si="1">SUM(D5+F5+H5+J5+L5+N5)</f>
        <v>1856</v>
      </c>
      <c r="C5" s="266">
        <f t="shared" ref="C5:C52" si="2">IFERROR(B5/B$4*100,"-")</f>
        <v>20.652052965394457</v>
      </c>
      <c r="D5" s="267">
        <v>29</v>
      </c>
      <c r="E5" s="266">
        <f t="shared" ref="E5:E11" si="3">IFERROR(D5/D$4*100,"-")</f>
        <v>11.600000000000001</v>
      </c>
      <c r="F5" s="267">
        <v>98</v>
      </c>
      <c r="G5" s="266">
        <f t="shared" ref="G5:G20" si="4">IFERROR(F5/F$4*100,"-")</f>
        <v>16.306156405990016</v>
      </c>
      <c r="H5" s="267">
        <v>237</v>
      </c>
      <c r="I5" s="266">
        <f t="shared" ref="I5:I33" si="5">IFERROR(H5/H$4*100,)</f>
        <v>19.899244332493705</v>
      </c>
      <c r="J5" s="267">
        <v>391</v>
      </c>
      <c r="K5" s="266">
        <f t="shared" ref="K5:K31" si="6">IFERROR(J5/J$4*100,"-")</f>
        <v>22.330097087378643</v>
      </c>
      <c r="L5" s="267">
        <v>481</v>
      </c>
      <c r="M5" s="266">
        <f t="shared" ref="M5:M36" si="7">IFERROR(L5/L$4*100,"-")</f>
        <v>21.579183490354421</v>
      </c>
      <c r="N5" s="267">
        <v>620</v>
      </c>
      <c r="O5" s="266">
        <f t="shared" ref="O5:O27" si="8">IFERROR(N5/N$4*100,"-")</f>
        <v>20.910623946037099</v>
      </c>
    </row>
    <row r="6" spans="1:16" ht="20.100000000000001" customHeight="1">
      <c r="A6" s="262" t="s">
        <v>224</v>
      </c>
      <c r="B6" s="265">
        <f t="shared" si="1"/>
        <v>1348</v>
      </c>
      <c r="C6" s="266">
        <f t="shared" si="2"/>
        <v>14.99944364081451</v>
      </c>
      <c r="D6" s="267">
        <v>19</v>
      </c>
      <c r="E6" s="266">
        <f t="shared" si="3"/>
        <v>7.6</v>
      </c>
      <c r="F6" s="267">
        <v>39</v>
      </c>
      <c r="G6" s="266">
        <f t="shared" si="4"/>
        <v>6.4891846921797001</v>
      </c>
      <c r="H6" s="267">
        <v>115</v>
      </c>
      <c r="I6" s="266">
        <f t="shared" si="5"/>
        <v>9.6557514693534845</v>
      </c>
      <c r="J6" s="267">
        <v>203</v>
      </c>
      <c r="K6" s="266">
        <f t="shared" si="6"/>
        <v>11.593375214163336</v>
      </c>
      <c r="L6" s="267">
        <v>359</v>
      </c>
      <c r="M6" s="266">
        <f t="shared" si="7"/>
        <v>16.105877074921491</v>
      </c>
      <c r="N6" s="267">
        <v>613</v>
      </c>
      <c r="O6" s="266">
        <f t="shared" si="8"/>
        <v>20.674536256323776</v>
      </c>
    </row>
    <row r="7" spans="1:16" ht="20.100000000000001" customHeight="1">
      <c r="A7" s="262" t="s">
        <v>226</v>
      </c>
      <c r="B7" s="265">
        <f t="shared" si="1"/>
        <v>1333</v>
      </c>
      <c r="C7" s="266">
        <f t="shared" si="2"/>
        <v>14.832535885167463</v>
      </c>
      <c r="D7" s="267">
        <v>13</v>
      </c>
      <c r="E7" s="266">
        <f t="shared" si="3"/>
        <v>5.2</v>
      </c>
      <c r="F7" s="267">
        <v>43</v>
      </c>
      <c r="G7" s="266">
        <f t="shared" si="4"/>
        <v>7.1547420965058244</v>
      </c>
      <c r="H7" s="267">
        <v>147</v>
      </c>
      <c r="I7" s="266">
        <f t="shared" si="5"/>
        <v>12.342569269521411</v>
      </c>
      <c r="J7" s="267">
        <v>294</v>
      </c>
      <c r="K7" s="266">
        <f t="shared" si="6"/>
        <v>16.790405482581384</v>
      </c>
      <c r="L7" s="267">
        <v>386</v>
      </c>
      <c r="M7" s="266">
        <f t="shared" si="7"/>
        <v>17.317182593091072</v>
      </c>
      <c r="N7" s="267">
        <v>450</v>
      </c>
      <c r="O7" s="266">
        <f t="shared" si="8"/>
        <v>15.177065767284992</v>
      </c>
    </row>
    <row r="8" spans="1:16" ht="20.100000000000001" customHeight="1">
      <c r="A8" s="262" t="s">
        <v>225</v>
      </c>
      <c r="B8" s="265">
        <f t="shared" si="1"/>
        <v>921</v>
      </c>
      <c r="C8" s="266">
        <f t="shared" si="2"/>
        <v>10.248136196728607</v>
      </c>
      <c r="D8" s="267">
        <v>80</v>
      </c>
      <c r="E8" s="266">
        <f t="shared" si="3"/>
        <v>32</v>
      </c>
      <c r="F8" s="267">
        <v>119</v>
      </c>
      <c r="G8" s="266">
        <f t="shared" si="4"/>
        <v>19.800332778702163</v>
      </c>
      <c r="H8" s="267">
        <v>176</v>
      </c>
      <c r="I8" s="266">
        <f t="shared" si="5"/>
        <v>14.777497900923594</v>
      </c>
      <c r="J8" s="267">
        <v>193</v>
      </c>
      <c r="K8" s="266">
        <f t="shared" si="6"/>
        <v>11.02227298686465</v>
      </c>
      <c r="L8" s="267">
        <v>179</v>
      </c>
      <c r="M8" s="266">
        <f t="shared" si="7"/>
        <v>8.0305069537909368</v>
      </c>
      <c r="N8" s="267">
        <v>174</v>
      </c>
      <c r="O8" s="266">
        <f t="shared" si="8"/>
        <v>5.8684654300168635</v>
      </c>
    </row>
    <row r="9" spans="1:16" ht="20.100000000000001" customHeight="1">
      <c r="A9" s="262" t="s">
        <v>227</v>
      </c>
      <c r="B9" s="265">
        <f t="shared" si="1"/>
        <v>773</v>
      </c>
      <c r="C9" s="266">
        <f t="shared" si="2"/>
        <v>8.6013130076777564</v>
      </c>
      <c r="D9" s="267">
        <v>51</v>
      </c>
      <c r="E9" s="266">
        <f t="shared" si="3"/>
        <v>20.399999999999999</v>
      </c>
      <c r="F9" s="267">
        <v>112</v>
      </c>
      <c r="G9" s="266">
        <f t="shared" si="4"/>
        <v>18.635607321131449</v>
      </c>
      <c r="H9" s="267">
        <v>138</v>
      </c>
      <c r="I9" s="266">
        <f t="shared" si="5"/>
        <v>11.586901763224182</v>
      </c>
      <c r="J9" s="267">
        <v>156</v>
      </c>
      <c r="K9" s="266">
        <f t="shared" si="6"/>
        <v>8.9091947458595087</v>
      </c>
      <c r="L9" s="267">
        <v>148</v>
      </c>
      <c r="M9" s="266">
        <f t="shared" si="7"/>
        <v>6.6397487662628984</v>
      </c>
      <c r="N9" s="267">
        <v>168</v>
      </c>
      <c r="O9" s="266">
        <f t="shared" si="8"/>
        <v>5.6661045531197303</v>
      </c>
    </row>
    <row r="10" spans="1:16" ht="20.100000000000001" customHeight="1">
      <c r="A10" s="262" t="s">
        <v>230</v>
      </c>
      <c r="B10" s="265">
        <f t="shared" si="1"/>
        <v>507</v>
      </c>
      <c r="C10" s="266">
        <f t="shared" si="2"/>
        <v>5.6414821408701457</v>
      </c>
      <c r="D10" s="267">
        <v>22</v>
      </c>
      <c r="E10" s="266">
        <f t="shared" si="3"/>
        <v>8.7999999999999989</v>
      </c>
      <c r="F10" s="267">
        <v>88</v>
      </c>
      <c r="G10" s="266">
        <f t="shared" si="4"/>
        <v>14.64226289517471</v>
      </c>
      <c r="H10" s="267">
        <v>125</v>
      </c>
      <c r="I10" s="266">
        <f t="shared" si="5"/>
        <v>10.495382031905962</v>
      </c>
      <c r="J10" s="267">
        <v>105</v>
      </c>
      <c r="K10" s="266">
        <f t="shared" si="6"/>
        <v>5.9965733866362081</v>
      </c>
      <c r="L10" s="267">
        <v>79</v>
      </c>
      <c r="M10" s="266">
        <f t="shared" si="7"/>
        <v>3.5441902198295199</v>
      </c>
      <c r="N10" s="267">
        <v>88</v>
      </c>
      <c r="O10" s="266">
        <f t="shared" si="8"/>
        <v>2.9679595278246209</v>
      </c>
    </row>
    <row r="11" spans="1:16" ht="20.100000000000001" customHeight="1">
      <c r="A11" s="262" t="s">
        <v>229</v>
      </c>
      <c r="B11" s="265">
        <f t="shared" si="1"/>
        <v>449</v>
      </c>
      <c r="C11" s="266">
        <f t="shared" si="2"/>
        <v>4.9961054857015696</v>
      </c>
      <c r="D11" s="267">
        <v>10</v>
      </c>
      <c r="E11" s="266">
        <f t="shared" si="3"/>
        <v>4</v>
      </c>
      <c r="F11" s="267">
        <v>27</v>
      </c>
      <c r="G11" s="266">
        <f t="shared" si="4"/>
        <v>4.4925124792013316</v>
      </c>
      <c r="H11" s="267">
        <v>61</v>
      </c>
      <c r="I11" s="266">
        <f t="shared" si="5"/>
        <v>5.1217464315701093</v>
      </c>
      <c r="J11" s="267">
        <v>79</v>
      </c>
      <c r="K11" s="266">
        <f t="shared" si="6"/>
        <v>4.5117075956596233</v>
      </c>
      <c r="L11" s="267">
        <v>110</v>
      </c>
      <c r="M11" s="266">
        <f t="shared" si="7"/>
        <v>4.9349484073575596</v>
      </c>
      <c r="N11" s="267">
        <v>162</v>
      </c>
      <c r="O11" s="266">
        <f t="shared" si="8"/>
        <v>5.463743676222597</v>
      </c>
    </row>
    <row r="12" spans="1:16" ht="20.100000000000001" customHeight="1">
      <c r="A12" s="262" t="s">
        <v>228</v>
      </c>
      <c r="B12" s="265">
        <f t="shared" si="1"/>
        <v>417</v>
      </c>
      <c r="C12" s="266">
        <f t="shared" si="2"/>
        <v>4.6400356069878708</v>
      </c>
      <c r="D12" s="265">
        <v>0</v>
      </c>
      <c r="E12" s="265">
        <v>0</v>
      </c>
      <c r="F12" s="267">
        <v>4</v>
      </c>
      <c r="G12" s="266">
        <f t="shared" si="4"/>
        <v>0.66555740432612309</v>
      </c>
      <c r="H12" s="267">
        <v>27</v>
      </c>
      <c r="I12" s="266">
        <f t="shared" si="5"/>
        <v>2.2670025188916876</v>
      </c>
      <c r="J12" s="267">
        <v>69</v>
      </c>
      <c r="K12" s="266">
        <f t="shared" si="6"/>
        <v>3.9406053683609366</v>
      </c>
      <c r="L12" s="267">
        <v>116</v>
      </c>
      <c r="M12" s="266">
        <f t="shared" si="7"/>
        <v>5.2041274113952447</v>
      </c>
      <c r="N12" s="267">
        <v>201</v>
      </c>
      <c r="O12" s="266">
        <f t="shared" si="8"/>
        <v>6.7790893760539621</v>
      </c>
    </row>
    <row r="13" spans="1:16" ht="20.100000000000001" customHeight="1">
      <c r="A13" s="262" t="s">
        <v>231</v>
      </c>
      <c r="B13" s="265">
        <f t="shared" si="1"/>
        <v>251</v>
      </c>
      <c r="C13" s="266">
        <f t="shared" si="2"/>
        <v>2.7929231111605652</v>
      </c>
      <c r="D13" s="267">
        <v>5</v>
      </c>
      <c r="E13" s="266">
        <f t="shared" ref="E13:E22" si="9">IFERROR(D13/D$4*100,"-")</f>
        <v>2</v>
      </c>
      <c r="F13" s="267">
        <v>13</v>
      </c>
      <c r="G13" s="266">
        <f t="shared" si="4"/>
        <v>2.1630615640599005</v>
      </c>
      <c r="H13" s="267">
        <v>34</v>
      </c>
      <c r="I13" s="266">
        <f t="shared" si="5"/>
        <v>2.8547439126784218</v>
      </c>
      <c r="J13" s="267">
        <v>59</v>
      </c>
      <c r="K13" s="266">
        <f t="shared" si="6"/>
        <v>3.3695031410622502</v>
      </c>
      <c r="L13" s="267">
        <v>60</v>
      </c>
      <c r="M13" s="266">
        <f t="shared" si="7"/>
        <v>2.6917900403768504</v>
      </c>
      <c r="N13" s="267">
        <v>80</v>
      </c>
      <c r="O13" s="266">
        <f t="shared" si="8"/>
        <v>2.6981450252951094</v>
      </c>
    </row>
    <row r="14" spans="1:16" ht="20.100000000000001" customHeight="1">
      <c r="A14" s="262" t="s">
        <v>232</v>
      </c>
      <c r="B14" s="265">
        <f t="shared" si="1"/>
        <v>155</v>
      </c>
      <c r="C14" s="266">
        <f t="shared" si="2"/>
        <v>1.7247134750194726</v>
      </c>
      <c r="D14" s="267">
        <v>1</v>
      </c>
      <c r="E14" s="266">
        <f t="shared" si="9"/>
        <v>0.4</v>
      </c>
      <c r="F14" s="267">
        <v>6</v>
      </c>
      <c r="G14" s="266">
        <f t="shared" si="4"/>
        <v>0.99833610648918469</v>
      </c>
      <c r="H14" s="267">
        <v>14</v>
      </c>
      <c r="I14" s="266">
        <f t="shared" si="5"/>
        <v>1.1754827875734677</v>
      </c>
      <c r="J14" s="267">
        <v>27</v>
      </c>
      <c r="K14" s="266">
        <f t="shared" si="6"/>
        <v>1.5419760137064535</v>
      </c>
      <c r="L14" s="267">
        <v>40</v>
      </c>
      <c r="M14" s="266">
        <f t="shared" si="7"/>
        <v>1.794526693584567</v>
      </c>
      <c r="N14" s="267">
        <v>67</v>
      </c>
      <c r="O14" s="266">
        <f t="shared" si="8"/>
        <v>2.2596964586846546</v>
      </c>
    </row>
    <row r="15" spans="1:16" ht="20.100000000000001" customHeight="1">
      <c r="A15" s="262" t="s">
        <v>235</v>
      </c>
      <c r="B15" s="265">
        <f t="shared" si="1"/>
        <v>132</v>
      </c>
      <c r="C15" s="266">
        <f t="shared" si="2"/>
        <v>1.4687882496940026</v>
      </c>
      <c r="D15" s="265">
        <v>0</v>
      </c>
      <c r="E15" s="266">
        <f t="shared" si="9"/>
        <v>0</v>
      </c>
      <c r="F15" s="265">
        <v>2</v>
      </c>
      <c r="G15" s="266">
        <f t="shared" si="4"/>
        <v>0.33277870216306155</v>
      </c>
      <c r="H15" s="267">
        <v>14</v>
      </c>
      <c r="I15" s="266">
        <f t="shared" si="5"/>
        <v>1.1754827875734677</v>
      </c>
      <c r="J15" s="267">
        <v>21</v>
      </c>
      <c r="K15" s="266">
        <f t="shared" si="6"/>
        <v>1.1993146773272416</v>
      </c>
      <c r="L15" s="267">
        <v>45</v>
      </c>
      <c r="M15" s="266">
        <f t="shared" si="7"/>
        <v>2.0188425302826376</v>
      </c>
      <c r="N15" s="267">
        <v>50</v>
      </c>
      <c r="O15" s="266">
        <f t="shared" si="8"/>
        <v>1.6863406408094435</v>
      </c>
    </row>
    <row r="16" spans="1:16" ht="20.100000000000001" customHeight="1">
      <c r="A16" s="262" t="s">
        <v>234</v>
      </c>
      <c r="B16" s="265">
        <f t="shared" si="1"/>
        <v>116</v>
      </c>
      <c r="C16" s="266">
        <f t="shared" si="2"/>
        <v>1.2907533103371536</v>
      </c>
      <c r="D16" s="267">
        <v>3</v>
      </c>
      <c r="E16" s="266">
        <f t="shared" si="9"/>
        <v>1.2</v>
      </c>
      <c r="F16" s="267">
        <v>14</v>
      </c>
      <c r="G16" s="266">
        <f t="shared" si="4"/>
        <v>2.3294509151414311</v>
      </c>
      <c r="H16" s="267">
        <v>17</v>
      </c>
      <c r="I16" s="266">
        <f t="shared" si="5"/>
        <v>1.4273719563392109</v>
      </c>
      <c r="J16" s="267">
        <v>17</v>
      </c>
      <c r="K16" s="266">
        <f t="shared" si="6"/>
        <v>0.97087378640776689</v>
      </c>
      <c r="L16" s="267">
        <v>31</v>
      </c>
      <c r="M16" s="266">
        <f t="shared" si="7"/>
        <v>1.3907581875280395</v>
      </c>
      <c r="N16" s="267">
        <v>34</v>
      </c>
      <c r="O16" s="266">
        <f t="shared" si="8"/>
        <v>1.1467116357504217</v>
      </c>
    </row>
    <row r="17" spans="1:15" ht="20.100000000000001" customHeight="1">
      <c r="A17" s="262" t="s">
        <v>236</v>
      </c>
      <c r="B17" s="265">
        <f t="shared" si="1"/>
        <v>88</v>
      </c>
      <c r="C17" s="266">
        <f t="shared" si="2"/>
        <v>0.97919216646266816</v>
      </c>
      <c r="D17" s="267">
        <v>2</v>
      </c>
      <c r="E17" s="266">
        <f t="shared" si="9"/>
        <v>0.8</v>
      </c>
      <c r="F17" s="267">
        <v>7</v>
      </c>
      <c r="G17" s="266">
        <f t="shared" si="4"/>
        <v>1.1647254575707155</v>
      </c>
      <c r="H17" s="267">
        <v>7</v>
      </c>
      <c r="I17" s="266">
        <f t="shared" si="5"/>
        <v>0.58774139378673385</v>
      </c>
      <c r="J17" s="267">
        <v>18</v>
      </c>
      <c r="K17" s="266">
        <f t="shared" si="6"/>
        <v>1.0279840091376355</v>
      </c>
      <c r="L17" s="267">
        <v>21</v>
      </c>
      <c r="M17" s="266">
        <f t="shared" si="7"/>
        <v>0.94212651413189774</v>
      </c>
      <c r="N17" s="267">
        <v>33</v>
      </c>
      <c r="O17" s="266">
        <f t="shared" si="8"/>
        <v>1.1129848229342327</v>
      </c>
    </row>
    <row r="18" spans="1:15" ht="20.100000000000001" customHeight="1">
      <c r="A18" s="262" t="s">
        <v>239</v>
      </c>
      <c r="B18" s="265">
        <f t="shared" si="1"/>
        <v>82</v>
      </c>
      <c r="C18" s="266">
        <f t="shared" si="2"/>
        <v>0.91242906420385006</v>
      </c>
      <c r="D18" s="265">
        <v>1</v>
      </c>
      <c r="E18" s="266">
        <f t="shared" si="9"/>
        <v>0.4</v>
      </c>
      <c r="F18" s="265">
        <v>1</v>
      </c>
      <c r="G18" s="266">
        <f t="shared" si="4"/>
        <v>0.16638935108153077</v>
      </c>
      <c r="H18" s="267">
        <v>6</v>
      </c>
      <c r="I18" s="266">
        <f t="shared" si="5"/>
        <v>0.50377833753148615</v>
      </c>
      <c r="J18" s="267">
        <v>14</v>
      </c>
      <c r="K18" s="266">
        <f t="shared" si="6"/>
        <v>0.79954311821816104</v>
      </c>
      <c r="L18" s="267">
        <v>24</v>
      </c>
      <c r="M18" s="266">
        <f t="shared" si="7"/>
        <v>1.0767160161507403</v>
      </c>
      <c r="N18" s="267">
        <v>36</v>
      </c>
      <c r="O18" s="266">
        <f t="shared" si="8"/>
        <v>1.2141652613827993</v>
      </c>
    </row>
    <row r="19" spans="1:15" ht="20.100000000000001" customHeight="1">
      <c r="A19" s="262" t="s">
        <v>233</v>
      </c>
      <c r="B19" s="265">
        <f t="shared" si="1"/>
        <v>80</v>
      </c>
      <c r="C19" s="266">
        <f t="shared" si="2"/>
        <v>0.89017469678424388</v>
      </c>
      <c r="D19" s="267">
        <v>4</v>
      </c>
      <c r="E19" s="266">
        <f t="shared" si="9"/>
        <v>1.6</v>
      </c>
      <c r="F19" s="267">
        <v>4</v>
      </c>
      <c r="G19" s="266">
        <f t="shared" si="4"/>
        <v>0.66555740432612309</v>
      </c>
      <c r="H19" s="267">
        <v>12</v>
      </c>
      <c r="I19" s="266">
        <f t="shared" si="5"/>
        <v>1.0075566750629723</v>
      </c>
      <c r="J19" s="267">
        <v>9</v>
      </c>
      <c r="K19" s="266">
        <f t="shared" si="6"/>
        <v>0.51399200456881777</v>
      </c>
      <c r="L19" s="267">
        <v>26</v>
      </c>
      <c r="M19" s="266">
        <f t="shared" si="7"/>
        <v>1.1664423508299686</v>
      </c>
      <c r="N19" s="267">
        <v>25</v>
      </c>
      <c r="O19" s="266">
        <f t="shared" si="8"/>
        <v>0.84317032040472173</v>
      </c>
    </row>
    <row r="20" spans="1:15" ht="20.100000000000001" customHeight="1">
      <c r="A20" s="262" t="s">
        <v>238</v>
      </c>
      <c r="B20" s="265">
        <f t="shared" si="1"/>
        <v>61</v>
      </c>
      <c r="C20" s="266">
        <f t="shared" si="2"/>
        <v>0.678758206297986</v>
      </c>
      <c r="D20" s="267">
        <v>2</v>
      </c>
      <c r="E20" s="266">
        <f t="shared" si="9"/>
        <v>0.8</v>
      </c>
      <c r="F20" s="267">
        <v>1</v>
      </c>
      <c r="G20" s="266">
        <f t="shared" si="4"/>
        <v>0.16638935108153077</v>
      </c>
      <c r="H20" s="267">
        <v>2</v>
      </c>
      <c r="I20" s="266">
        <f t="shared" si="5"/>
        <v>0.16792611251049538</v>
      </c>
      <c r="J20" s="267">
        <v>8</v>
      </c>
      <c r="K20" s="266">
        <f t="shared" si="6"/>
        <v>0.45688178183894917</v>
      </c>
      <c r="L20" s="267">
        <v>16</v>
      </c>
      <c r="M20" s="266">
        <f t="shared" si="7"/>
        <v>0.71781067743382676</v>
      </c>
      <c r="N20" s="267">
        <v>32</v>
      </c>
      <c r="O20" s="266">
        <f t="shared" si="8"/>
        <v>1.0792580101180438</v>
      </c>
    </row>
    <row r="21" spans="1:15" ht="20.100000000000001" customHeight="1">
      <c r="A21" s="262" t="s">
        <v>244</v>
      </c>
      <c r="B21" s="265">
        <f t="shared" si="1"/>
        <v>46</v>
      </c>
      <c r="C21" s="266">
        <f t="shared" si="2"/>
        <v>0.51185045065094026</v>
      </c>
      <c r="D21" s="265">
        <v>1</v>
      </c>
      <c r="E21" s="266">
        <f t="shared" si="9"/>
        <v>0.4</v>
      </c>
      <c r="F21" s="265">
        <v>0</v>
      </c>
      <c r="G21" s="265">
        <v>0</v>
      </c>
      <c r="H21" s="267">
        <v>4</v>
      </c>
      <c r="I21" s="266">
        <f t="shared" si="5"/>
        <v>0.33585222502099077</v>
      </c>
      <c r="J21" s="267">
        <v>8</v>
      </c>
      <c r="K21" s="266">
        <f t="shared" si="6"/>
        <v>0.45688178183894917</v>
      </c>
      <c r="L21" s="267">
        <v>14</v>
      </c>
      <c r="M21" s="266">
        <f t="shared" si="7"/>
        <v>0.62808434275459846</v>
      </c>
      <c r="N21" s="267">
        <v>19</v>
      </c>
      <c r="O21" s="266">
        <f t="shared" si="8"/>
        <v>0.64080944350758851</v>
      </c>
    </row>
    <row r="22" spans="1:15" ht="20.100000000000001" customHeight="1">
      <c r="A22" s="262" t="s">
        <v>241</v>
      </c>
      <c r="B22" s="265">
        <f t="shared" si="1"/>
        <v>40</v>
      </c>
      <c r="C22" s="266">
        <f t="shared" si="2"/>
        <v>0.44508734839212194</v>
      </c>
      <c r="D22" s="267">
        <v>1</v>
      </c>
      <c r="E22" s="266">
        <f t="shared" si="9"/>
        <v>0.4</v>
      </c>
      <c r="F22" s="265">
        <v>1</v>
      </c>
      <c r="G22" s="266">
        <f>IFERROR(F22/F$4*100,"-")</f>
        <v>0.16638935108153077</v>
      </c>
      <c r="H22" s="267">
        <v>6</v>
      </c>
      <c r="I22" s="266">
        <f t="shared" si="5"/>
        <v>0.50377833753148615</v>
      </c>
      <c r="J22" s="267">
        <v>6</v>
      </c>
      <c r="K22" s="266">
        <f t="shared" si="6"/>
        <v>0.34266133637921187</v>
      </c>
      <c r="L22" s="267">
        <v>7</v>
      </c>
      <c r="M22" s="266">
        <f t="shared" si="7"/>
        <v>0.31404217137729923</v>
      </c>
      <c r="N22" s="267">
        <v>19</v>
      </c>
      <c r="O22" s="266">
        <f t="shared" si="8"/>
        <v>0.64080944350758851</v>
      </c>
    </row>
    <row r="23" spans="1:15" ht="20.100000000000001" customHeight="1">
      <c r="A23" s="262" t="s">
        <v>245</v>
      </c>
      <c r="B23" s="265">
        <f t="shared" si="1"/>
        <v>38</v>
      </c>
      <c r="C23" s="266">
        <f t="shared" si="2"/>
        <v>0.42283298097251587</v>
      </c>
      <c r="D23" s="265">
        <v>0</v>
      </c>
      <c r="E23" s="265">
        <v>0</v>
      </c>
      <c r="F23" s="267">
        <v>4</v>
      </c>
      <c r="G23" s="266">
        <f>IFERROR(F23/F$4*100,"-")</f>
        <v>0.66555740432612309</v>
      </c>
      <c r="H23" s="267">
        <v>6</v>
      </c>
      <c r="I23" s="266">
        <f t="shared" si="5"/>
        <v>0.50377833753148615</v>
      </c>
      <c r="J23" s="267">
        <v>8</v>
      </c>
      <c r="K23" s="266">
        <f t="shared" si="6"/>
        <v>0.45688178183894917</v>
      </c>
      <c r="L23" s="267">
        <v>7</v>
      </c>
      <c r="M23" s="266">
        <f t="shared" si="7"/>
        <v>0.31404217137729923</v>
      </c>
      <c r="N23" s="267">
        <v>13</v>
      </c>
      <c r="O23" s="266">
        <f t="shared" si="8"/>
        <v>0.43844856661045528</v>
      </c>
    </row>
    <row r="24" spans="1:15" ht="20.100000000000001" customHeight="1">
      <c r="A24" s="262" t="s">
        <v>237</v>
      </c>
      <c r="B24" s="265">
        <f t="shared" si="1"/>
        <v>34</v>
      </c>
      <c r="C24" s="266">
        <f t="shared" si="2"/>
        <v>0.37832424613330362</v>
      </c>
      <c r="D24" s="267">
        <v>2</v>
      </c>
      <c r="E24" s="266">
        <f>IFERROR(D24/D$4*100,"-")</f>
        <v>0.8</v>
      </c>
      <c r="F24" s="265">
        <v>0</v>
      </c>
      <c r="G24" s="265">
        <v>0</v>
      </c>
      <c r="H24" s="267">
        <v>1</v>
      </c>
      <c r="I24" s="266">
        <f t="shared" si="5"/>
        <v>8.3963056255247692E-2</v>
      </c>
      <c r="J24" s="267">
        <v>6</v>
      </c>
      <c r="K24" s="266">
        <f t="shared" si="6"/>
        <v>0.34266133637921187</v>
      </c>
      <c r="L24" s="267">
        <v>10</v>
      </c>
      <c r="M24" s="266">
        <f t="shared" si="7"/>
        <v>0.44863167339614174</v>
      </c>
      <c r="N24" s="267">
        <v>15</v>
      </c>
      <c r="O24" s="266">
        <f t="shared" si="8"/>
        <v>0.50590219224283306</v>
      </c>
    </row>
    <row r="25" spans="1:15" ht="20.100000000000001" customHeight="1">
      <c r="A25" s="262" t="s">
        <v>243</v>
      </c>
      <c r="B25" s="265">
        <f t="shared" si="1"/>
        <v>33</v>
      </c>
      <c r="C25" s="266">
        <f t="shared" si="2"/>
        <v>0.36719706242350064</v>
      </c>
      <c r="D25" s="265">
        <v>0</v>
      </c>
      <c r="E25" s="265">
        <v>0</v>
      </c>
      <c r="F25" s="267">
        <v>1</v>
      </c>
      <c r="G25" s="266">
        <f t="shared" ref="G25:G33" si="10">IFERROR(F25/F$4*100,"-")</f>
        <v>0.16638935108153077</v>
      </c>
      <c r="H25" s="267">
        <v>2</v>
      </c>
      <c r="I25" s="266">
        <f t="shared" si="5"/>
        <v>0.16792611251049538</v>
      </c>
      <c r="J25" s="267">
        <v>7</v>
      </c>
      <c r="K25" s="266">
        <f t="shared" si="6"/>
        <v>0.39977155910908052</v>
      </c>
      <c r="L25" s="267">
        <v>11</v>
      </c>
      <c r="M25" s="266">
        <f t="shared" si="7"/>
        <v>0.493494840735756</v>
      </c>
      <c r="N25" s="267">
        <v>12</v>
      </c>
      <c r="O25" s="266">
        <f t="shared" si="8"/>
        <v>0.40472175379426639</v>
      </c>
    </row>
    <row r="26" spans="1:15" ht="20.100000000000001" customHeight="1">
      <c r="A26" s="262" t="s">
        <v>240</v>
      </c>
      <c r="B26" s="265">
        <f t="shared" si="1"/>
        <v>32</v>
      </c>
      <c r="C26" s="266">
        <f t="shared" si="2"/>
        <v>0.35606987871369755</v>
      </c>
      <c r="D26" s="267">
        <v>2</v>
      </c>
      <c r="E26" s="266">
        <f>IFERROR(D26/D$4*100,"-")</f>
        <v>0.8</v>
      </c>
      <c r="F26" s="267">
        <v>3</v>
      </c>
      <c r="G26" s="266">
        <f t="shared" si="10"/>
        <v>0.49916805324459235</v>
      </c>
      <c r="H26" s="267">
        <v>5</v>
      </c>
      <c r="I26" s="266">
        <f t="shared" si="5"/>
        <v>0.41981528127623846</v>
      </c>
      <c r="J26" s="267">
        <v>7</v>
      </c>
      <c r="K26" s="266">
        <f t="shared" si="6"/>
        <v>0.39977155910908052</v>
      </c>
      <c r="L26" s="267">
        <v>11</v>
      </c>
      <c r="M26" s="266">
        <f t="shared" si="7"/>
        <v>0.493494840735756</v>
      </c>
      <c r="N26" s="267">
        <v>4</v>
      </c>
      <c r="O26" s="266">
        <f t="shared" si="8"/>
        <v>0.13490725126475547</v>
      </c>
    </row>
    <row r="27" spans="1:15" ht="20.100000000000001" customHeight="1">
      <c r="A27" s="262" t="s">
        <v>242</v>
      </c>
      <c r="B27" s="265">
        <f t="shared" si="1"/>
        <v>29</v>
      </c>
      <c r="C27" s="266">
        <f t="shared" si="2"/>
        <v>0.32268832758428839</v>
      </c>
      <c r="D27" s="265">
        <v>0</v>
      </c>
      <c r="E27" s="265">
        <v>0</v>
      </c>
      <c r="F27" s="267">
        <v>1</v>
      </c>
      <c r="G27" s="266">
        <f t="shared" si="10"/>
        <v>0.16638935108153077</v>
      </c>
      <c r="H27" s="267">
        <v>2</v>
      </c>
      <c r="I27" s="266">
        <f t="shared" si="5"/>
        <v>0.16792611251049538</v>
      </c>
      <c r="J27" s="267">
        <v>6</v>
      </c>
      <c r="K27" s="266">
        <f t="shared" si="6"/>
        <v>0.34266133637921187</v>
      </c>
      <c r="L27" s="267">
        <v>6</v>
      </c>
      <c r="M27" s="266">
        <f t="shared" si="7"/>
        <v>0.26917900403768508</v>
      </c>
      <c r="N27" s="267">
        <v>14</v>
      </c>
      <c r="O27" s="266">
        <f t="shared" si="8"/>
        <v>0.47217537942664423</v>
      </c>
    </row>
    <row r="28" spans="1:15" ht="20.100000000000001" customHeight="1">
      <c r="A28" s="262" t="s">
        <v>249</v>
      </c>
      <c r="B28" s="265">
        <f t="shared" si="1"/>
        <v>29</v>
      </c>
      <c r="C28" s="266">
        <f t="shared" si="2"/>
        <v>0.32268832758428839</v>
      </c>
      <c r="D28" s="267">
        <v>2</v>
      </c>
      <c r="E28" s="266">
        <f>IFERROR(D28/D$4*100,"-")</f>
        <v>0.8</v>
      </c>
      <c r="F28" s="265">
        <v>4</v>
      </c>
      <c r="G28" s="266">
        <f t="shared" si="10"/>
        <v>0.66555740432612309</v>
      </c>
      <c r="H28" s="265">
        <v>11</v>
      </c>
      <c r="I28" s="266">
        <f t="shared" si="5"/>
        <v>0.92359361880772461</v>
      </c>
      <c r="J28" s="267">
        <v>7</v>
      </c>
      <c r="K28" s="266">
        <f t="shared" si="6"/>
        <v>0.39977155910908052</v>
      </c>
      <c r="L28" s="267">
        <v>5</v>
      </c>
      <c r="M28" s="266">
        <f t="shared" si="7"/>
        <v>0.22431583669807087</v>
      </c>
      <c r="N28" s="268">
        <v>0</v>
      </c>
      <c r="O28" s="268">
        <v>0</v>
      </c>
    </row>
    <row r="29" spans="1:15" ht="20.100000000000001" customHeight="1">
      <c r="A29" s="262" t="s">
        <v>247</v>
      </c>
      <c r="B29" s="265">
        <f t="shared" si="1"/>
        <v>20</v>
      </c>
      <c r="C29" s="266">
        <f t="shared" si="2"/>
        <v>0.22254367419606097</v>
      </c>
      <c r="D29" s="265">
        <v>0</v>
      </c>
      <c r="E29" s="265">
        <v>0</v>
      </c>
      <c r="F29" s="265">
        <v>2</v>
      </c>
      <c r="G29" s="266">
        <f t="shared" si="10"/>
        <v>0.33277870216306155</v>
      </c>
      <c r="H29" s="267">
        <v>4</v>
      </c>
      <c r="I29" s="266">
        <f t="shared" si="5"/>
        <v>0.33585222502099077</v>
      </c>
      <c r="J29" s="267">
        <v>7</v>
      </c>
      <c r="K29" s="266">
        <f t="shared" si="6"/>
        <v>0.39977155910908052</v>
      </c>
      <c r="L29" s="267">
        <v>4</v>
      </c>
      <c r="M29" s="266">
        <f t="shared" si="7"/>
        <v>0.17945266935845669</v>
      </c>
      <c r="N29" s="267">
        <v>3</v>
      </c>
      <c r="O29" s="266">
        <f>IFERROR(N29/N$4*100,"-")</f>
        <v>0.1011804384485666</v>
      </c>
    </row>
    <row r="30" spans="1:15" ht="20.100000000000001" customHeight="1">
      <c r="A30" s="262" t="s">
        <v>246</v>
      </c>
      <c r="B30" s="265">
        <f t="shared" si="1"/>
        <v>17</v>
      </c>
      <c r="C30" s="266">
        <f t="shared" si="2"/>
        <v>0.18916212306665181</v>
      </c>
      <c r="D30" s="265">
        <v>0</v>
      </c>
      <c r="E30" s="265">
        <v>0</v>
      </c>
      <c r="F30" s="267">
        <v>2</v>
      </c>
      <c r="G30" s="266">
        <f t="shared" si="10"/>
        <v>0.33277870216306155</v>
      </c>
      <c r="H30" s="267">
        <v>3</v>
      </c>
      <c r="I30" s="266">
        <f t="shared" si="5"/>
        <v>0.25188916876574308</v>
      </c>
      <c r="J30" s="267">
        <v>4</v>
      </c>
      <c r="K30" s="266">
        <f t="shared" si="6"/>
        <v>0.22844089091947459</v>
      </c>
      <c r="L30" s="267">
        <v>3</v>
      </c>
      <c r="M30" s="266">
        <f t="shared" si="7"/>
        <v>0.13458950201884254</v>
      </c>
      <c r="N30" s="267">
        <v>5</v>
      </c>
      <c r="O30" s="266">
        <f>IFERROR(N30/N$4*100,"-")</f>
        <v>0.16863406408094433</v>
      </c>
    </row>
    <row r="31" spans="1:15" ht="20.100000000000001" customHeight="1">
      <c r="A31" s="262" t="s">
        <v>251</v>
      </c>
      <c r="B31" s="265">
        <f t="shared" si="1"/>
        <v>15</v>
      </c>
      <c r="C31" s="266">
        <f t="shared" si="2"/>
        <v>0.16690775564704574</v>
      </c>
      <c r="D31" s="265">
        <v>0</v>
      </c>
      <c r="E31" s="265">
        <v>0</v>
      </c>
      <c r="F31" s="265">
        <v>1</v>
      </c>
      <c r="G31" s="266">
        <f t="shared" si="10"/>
        <v>0.16638935108153077</v>
      </c>
      <c r="H31" s="265">
        <v>3</v>
      </c>
      <c r="I31" s="266">
        <f t="shared" si="5"/>
        <v>0.25188916876574308</v>
      </c>
      <c r="J31" s="267">
        <v>6</v>
      </c>
      <c r="K31" s="266">
        <f t="shared" si="6"/>
        <v>0.34266133637921187</v>
      </c>
      <c r="L31" s="267">
        <v>2</v>
      </c>
      <c r="M31" s="266">
        <f t="shared" si="7"/>
        <v>8.9726334679228345E-2</v>
      </c>
      <c r="N31" s="267">
        <v>3</v>
      </c>
      <c r="O31" s="266">
        <f>IFERROR(N31/N$4*100,"-")</f>
        <v>0.1011804384485666</v>
      </c>
    </row>
    <row r="32" spans="1:15" ht="20.100000000000001" customHeight="1">
      <c r="A32" s="262" t="s">
        <v>248</v>
      </c>
      <c r="B32" s="265">
        <f t="shared" si="1"/>
        <v>12</v>
      </c>
      <c r="C32" s="266">
        <f t="shared" si="2"/>
        <v>0.13352620451763658</v>
      </c>
      <c r="D32" s="265">
        <v>0</v>
      </c>
      <c r="E32" s="265">
        <v>0</v>
      </c>
      <c r="F32" s="267">
        <v>2</v>
      </c>
      <c r="G32" s="266">
        <f t="shared" si="10"/>
        <v>0.33277870216306155</v>
      </c>
      <c r="H32" s="267">
        <v>2</v>
      </c>
      <c r="I32" s="266">
        <f t="shared" si="5"/>
        <v>0.16792611251049538</v>
      </c>
      <c r="J32" s="268">
        <v>0</v>
      </c>
      <c r="K32" s="268">
        <v>0</v>
      </c>
      <c r="L32" s="267">
        <v>3</v>
      </c>
      <c r="M32" s="266">
        <f t="shared" si="7"/>
        <v>0.13458950201884254</v>
      </c>
      <c r="N32" s="267">
        <v>5</v>
      </c>
      <c r="O32" s="266">
        <f>IFERROR(N32/N$4*100,"-")</f>
        <v>0.16863406408094433</v>
      </c>
    </row>
    <row r="33" spans="1:15" ht="20.100000000000001" customHeight="1">
      <c r="A33" s="262" t="s">
        <v>254</v>
      </c>
      <c r="B33" s="265">
        <f t="shared" si="1"/>
        <v>10</v>
      </c>
      <c r="C33" s="266">
        <f t="shared" si="2"/>
        <v>0.11127183709803048</v>
      </c>
      <c r="D33" s="265">
        <v>0</v>
      </c>
      <c r="E33" s="265">
        <v>0</v>
      </c>
      <c r="F33" s="265">
        <v>1</v>
      </c>
      <c r="G33" s="266">
        <f t="shared" si="10"/>
        <v>0.16638935108153077</v>
      </c>
      <c r="H33" s="265">
        <v>2</v>
      </c>
      <c r="I33" s="266">
        <f t="shared" si="5"/>
        <v>0.16792611251049538</v>
      </c>
      <c r="J33" s="267">
        <v>3</v>
      </c>
      <c r="K33" s="266">
        <f t="shared" ref="K33:K38" si="11">IFERROR(J33/J$4*100,"-")</f>
        <v>0.17133066818960593</v>
      </c>
      <c r="L33" s="267">
        <v>4</v>
      </c>
      <c r="M33" s="266">
        <f t="shared" si="7"/>
        <v>0.17945266935845669</v>
      </c>
      <c r="N33" s="268">
        <v>0</v>
      </c>
      <c r="O33" s="268">
        <v>0</v>
      </c>
    </row>
    <row r="34" spans="1:15" ht="20.100000000000001" customHeight="1">
      <c r="A34" s="262" t="s">
        <v>253</v>
      </c>
      <c r="B34" s="265">
        <f t="shared" si="1"/>
        <v>9</v>
      </c>
      <c r="C34" s="266">
        <f t="shared" si="2"/>
        <v>0.10014465338822744</v>
      </c>
      <c r="D34" s="265">
        <v>0</v>
      </c>
      <c r="E34" s="265">
        <v>0</v>
      </c>
      <c r="F34" s="265">
        <v>0</v>
      </c>
      <c r="G34" s="265">
        <v>0</v>
      </c>
      <c r="H34" s="265">
        <v>0</v>
      </c>
      <c r="I34" s="265">
        <v>0</v>
      </c>
      <c r="J34" s="267">
        <v>2</v>
      </c>
      <c r="K34" s="266">
        <f t="shared" si="11"/>
        <v>0.11422044545973729</v>
      </c>
      <c r="L34" s="265">
        <v>2</v>
      </c>
      <c r="M34" s="266">
        <f t="shared" si="7"/>
        <v>8.9726334679228345E-2</v>
      </c>
      <c r="N34" s="267">
        <v>5</v>
      </c>
      <c r="O34" s="266">
        <f>IFERROR(N34/N$4*100,"-")</f>
        <v>0.16863406408094433</v>
      </c>
    </row>
    <row r="35" spans="1:15" ht="20.100000000000001" customHeight="1">
      <c r="A35" s="262" t="s">
        <v>252</v>
      </c>
      <c r="B35" s="265">
        <f t="shared" si="1"/>
        <v>9</v>
      </c>
      <c r="C35" s="266">
        <f t="shared" si="2"/>
        <v>0.10014465338822744</v>
      </c>
      <c r="D35" s="265">
        <v>0</v>
      </c>
      <c r="E35" s="265">
        <v>0</v>
      </c>
      <c r="F35" s="265">
        <v>0</v>
      </c>
      <c r="G35" s="265">
        <v>0</v>
      </c>
      <c r="H35" s="265">
        <v>0</v>
      </c>
      <c r="I35" s="265">
        <v>0</v>
      </c>
      <c r="J35" s="267">
        <v>4</v>
      </c>
      <c r="K35" s="266">
        <f t="shared" si="11"/>
        <v>0.22844089091947459</v>
      </c>
      <c r="L35" s="267">
        <v>2</v>
      </c>
      <c r="M35" s="266">
        <f t="shared" si="7"/>
        <v>8.9726334679228345E-2</v>
      </c>
      <c r="N35" s="267">
        <v>3</v>
      </c>
      <c r="O35" s="266">
        <f>IFERROR(N35/N$4*100,"-")</f>
        <v>0.1011804384485666</v>
      </c>
    </row>
    <row r="36" spans="1:15" ht="20.100000000000001" customHeight="1">
      <c r="A36" s="262" t="s">
        <v>250</v>
      </c>
      <c r="B36" s="265">
        <f t="shared" si="1"/>
        <v>8</v>
      </c>
      <c r="C36" s="266">
        <f t="shared" si="2"/>
        <v>8.9017469678424388E-2</v>
      </c>
      <c r="D36" s="265">
        <v>0</v>
      </c>
      <c r="E36" s="265">
        <v>0</v>
      </c>
      <c r="F36" s="265">
        <v>0</v>
      </c>
      <c r="G36" s="265">
        <v>0</v>
      </c>
      <c r="H36" s="267">
        <v>1</v>
      </c>
      <c r="I36" s="266">
        <f>IFERROR(H36/H$4*100,)</f>
        <v>8.3963056255247692E-2</v>
      </c>
      <c r="J36" s="265">
        <v>1</v>
      </c>
      <c r="K36" s="266">
        <f t="shared" si="11"/>
        <v>5.7110222729868647E-2</v>
      </c>
      <c r="L36" s="265">
        <v>2</v>
      </c>
      <c r="M36" s="266">
        <f t="shared" si="7"/>
        <v>8.9726334679228345E-2</v>
      </c>
      <c r="N36" s="267">
        <v>4</v>
      </c>
      <c r="O36" s="266">
        <f>IFERROR(N36/N$4*100,"-")</f>
        <v>0.13490725126475547</v>
      </c>
    </row>
    <row r="37" spans="1:15" ht="20.100000000000001" customHeight="1">
      <c r="A37" s="262" t="s">
        <v>626</v>
      </c>
      <c r="B37" s="265">
        <f t="shared" si="1"/>
        <v>5</v>
      </c>
      <c r="C37" s="266">
        <f t="shared" si="2"/>
        <v>5.5635918549015242E-2</v>
      </c>
      <c r="D37" s="265">
        <v>0</v>
      </c>
      <c r="E37" s="265">
        <v>0</v>
      </c>
      <c r="F37" s="265">
        <v>1</v>
      </c>
      <c r="G37" s="266">
        <f>IFERROR(F37/F$4*100,"-")</f>
        <v>0.16638935108153077</v>
      </c>
      <c r="H37" s="265">
        <v>2</v>
      </c>
      <c r="I37" s="266">
        <f>IFERROR(H37/H$4*100,)</f>
        <v>0.16792611251049538</v>
      </c>
      <c r="J37" s="265">
        <v>1</v>
      </c>
      <c r="K37" s="266">
        <f t="shared" si="11"/>
        <v>5.7110222729868647E-2</v>
      </c>
      <c r="L37" s="265">
        <v>0</v>
      </c>
      <c r="M37" s="265">
        <v>0</v>
      </c>
      <c r="N37" s="267">
        <v>1</v>
      </c>
      <c r="O37" s="266">
        <f>IFERROR(N37/N$4*100,"-")</f>
        <v>3.3726812816188868E-2</v>
      </c>
    </row>
    <row r="38" spans="1:15" ht="20.100000000000001" customHeight="1">
      <c r="A38" s="262" t="s">
        <v>256</v>
      </c>
      <c r="B38" s="265">
        <f t="shared" si="1"/>
        <v>5</v>
      </c>
      <c r="C38" s="266">
        <f t="shared" si="2"/>
        <v>5.5635918549015242E-2</v>
      </c>
      <c r="D38" s="265">
        <v>0</v>
      </c>
      <c r="E38" s="265">
        <v>0</v>
      </c>
      <c r="F38" s="265">
        <v>0</v>
      </c>
      <c r="G38" s="265">
        <v>0</v>
      </c>
      <c r="H38" s="265">
        <v>0</v>
      </c>
      <c r="I38" s="265">
        <v>0</v>
      </c>
      <c r="J38" s="265">
        <v>3</v>
      </c>
      <c r="K38" s="266">
        <f t="shared" si="11"/>
        <v>0.17133066818960593</v>
      </c>
      <c r="L38" s="267">
        <v>2</v>
      </c>
      <c r="M38" s="266">
        <f t="shared" ref="M38:M45" si="12">IFERROR(L38/L$4*100,"-")</f>
        <v>8.9726334679228345E-2</v>
      </c>
      <c r="N38" s="268">
        <v>0</v>
      </c>
      <c r="O38" s="268">
        <v>0</v>
      </c>
    </row>
    <row r="39" spans="1:15">
      <c r="A39" s="262" t="s">
        <v>255</v>
      </c>
      <c r="B39" s="265">
        <f t="shared" si="1"/>
        <v>3</v>
      </c>
      <c r="C39" s="266">
        <f t="shared" si="2"/>
        <v>3.3381551129409145E-2</v>
      </c>
      <c r="D39" s="265">
        <v>0</v>
      </c>
      <c r="E39" s="265">
        <v>0</v>
      </c>
      <c r="F39" s="265">
        <v>0</v>
      </c>
      <c r="G39" s="265">
        <v>0</v>
      </c>
      <c r="H39" s="265">
        <v>0</v>
      </c>
      <c r="I39" s="265">
        <v>0</v>
      </c>
      <c r="J39" s="265">
        <v>0</v>
      </c>
      <c r="K39" s="265">
        <v>0</v>
      </c>
      <c r="L39" s="267">
        <v>2</v>
      </c>
      <c r="M39" s="266">
        <f t="shared" si="12"/>
        <v>8.9726334679228345E-2</v>
      </c>
      <c r="N39" s="267">
        <v>1</v>
      </c>
      <c r="O39" s="266">
        <f>IFERROR(N39/N$4*100,"-")</f>
        <v>3.3726812816188868E-2</v>
      </c>
    </row>
    <row r="40" spans="1:15" ht="20.100000000000001" customHeight="1">
      <c r="A40" s="262" t="s">
        <v>260</v>
      </c>
      <c r="B40" s="265">
        <f t="shared" si="1"/>
        <v>3</v>
      </c>
      <c r="C40" s="266">
        <f t="shared" si="2"/>
        <v>3.3381551129409145E-2</v>
      </c>
      <c r="D40" s="265">
        <v>0</v>
      </c>
      <c r="E40" s="265">
        <v>0</v>
      </c>
      <c r="F40" s="265">
        <v>0</v>
      </c>
      <c r="G40" s="265">
        <v>0</v>
      </c>
      <c r="H40" s="265">
        <v>0</v>
      </c>
      <c r="I40" s="265">
        <v>0</v>
      </c>
      <c r="J40" s="265">
        <v>0</v>
      </c>
      <c r="K40" s="265">
        <v>0</v>
      </c>
      <c r="L40" s="265">
        <v>2</v>
      </c>
      <c r="M40" s="266">
        <f t="shared" si="12"/>
        <v>8.9726334679228345E-2</v>
      </c>
      <c r="N40" s="267">
        <v>1</v>
      </c>
      <c r="O40" s="266">
        <f>IFERROR(N40/N$4*100,"-")</f>
        <v>3.3726812816188868E-2</v>
      </c>
    </row>
    <row r="41" spans="1:15" ht="20.100000000000001" customHeight="1">
      <c r="A41" s="269" t="s">
        <v>616</v>
      </c>
      <c r="B41" s="265">
        <f t="shared" si="1"/>
        <v>3</v>
      </c>
      <c r="C41" s="266">
        <f t="shared" si="2"/>
        <v>3.3381551129409145E-2</v>
      </c>
      <c r="D41" s="265">
        <v>0</v>
      </c>
      <c r="E41" s="265">
        <v>0</v>
      </c>
      <c r="F41" s="265">
        <v>0</v>
      </c>
      <c r="G41" s="265">
        <v>0</v>
      </c>
      <c r="H41" s="265">
        <v>0</v>
      </c>
      <c r="I41" s="265">
        <v>0</v>
      </c>
      <c r="J41" s="265">
        <v>0</v>
      </c>
      <c r="K41" s="265">
        <v>0</v>
      </c>
      <c r="L41" s="265">
        <v>2</v>
      </c>
      <c r="M41" s="266">
        <f t="shared" si="12"/>
        <v>8.9726334679228345E-2</v>
      </c>
      <c r="N41" s="267">
        <v>1</v>
      </c>
      <c r="O41" s="266">
        <f>IFERROR(N41/N$4*100,"-")</f>
        <v>3.3726812816188868E-2</v>
      </c>
    </row>
    <row r="42" spans="1:15" ht="33">
      <c r="A42" s="269" t="s">
        <v>347</v>
      </c>
      <c r="B42" s="265">
        <f t="shared" si="1"/>
        <v>3</v>
      </c>
      <c r="C42" s="266">
        <f t="shared" si="2"/>
        <v>3.3381551129409145E-2</v>
      </c>
      <c r="D42" s="265">
        <v>0</v>
      </c>
      <c r="E42" s="265">
        <v>0</v>
      </c>
      <c r="F42" s="265">
        <v>0</v>
      </c>
      <c r="G42" s="265">
        <v>0</v>
      </c>
      <c r="H42" s="265">
        <v>1</v>
      </c>
      <c r="I42" s="266">
        <f>IFERROR(H42/H$4*100,)</f>
        <v>8.3963056255247692E-2</v>
      </c>
      <c r="J42" s="265">
        <v>1</v>
      </c>
      <c r="K42" s="266">
        <f>IFERROR(J42/J$4*100,"-")</f>
        <v>5.7110222729868647E-2</v>
      </c>
      <c r="L42" s="265">
        <v>1</v>
      </c>
      <c r="M42" s="266">
        <f t="shared" si="12"/>
        <v>4.4863167339614173E-2</v>
      </c>
      <c r="N42" s="265">
        <v>0</v>
      </c>
      <c r="O42" s="265">
        <v>0</v>
      </c>
    </row>
    <row r="43" spans="1:15">
      <c r="A43" s="262" t="s">
        <v>257</v>
      </c>
      <c r="B43" s="265">
        <f t="shared" si="1"/>
        <v>3</v>
      </c>
      <c r="C43" s="266">
        <f t="shared" si="2"/>
        <v>3.3381551129409145E-2</v>
      </c>
      <c r="D43" s="265">
        <v>0</v>
      </c>
      <c r="E43" s="265">
        <v>0</v>
      </c>
      <c r="F43" s="265">
        <v>0</v>
      </c>
      <c r="G43" s="265">
        <v>0</v>
      </c>
      <c r="H43" s="265">
        <v>1</v>
      </c>
      <c r="I43" s="266">
        <f>IFERROR(H43/H$4*100,)</f>
        <v>8.3963056255247692E-2</v>
      </c>
      <c r="J43" s="265">
        <v>0</v>
      </c>
      <c r="K43" s="265">
        <v>0</v>
      </c>
      <c r="L43" s="265">
        <v>2</v>
      </c>
      <c r="M43" s="266">
        <f t="shared" si="12"/>
        <v>8.9726334679228345E-2</v>
      </c>
      <c r="N43" s="268">
        <v>0</v>
      </c>
      <c r="O43" s="268">
        <v>0</v>
      </c>
    </row>
    <row r="44" spans="1:15" ht="20.100000000000001" customHeight="1">
      <c r="A44" s="262" t="s">
        <v>262</v>
      </c>
      <c r="B44" s="265">
        <f t="shared" si="1"/>
        <v>2</v>
      </c>
      <c r="C44" s="266">
        <f t="shared" si="2"/>
        <v>2.2254367419606097E-2</v>
      </c>
      <c r="D44" s="265">
        <v>0</v>
      </c>
      <c r="E44" s="265">
        <v>0</v>
      </c>
      <c r="F44" s="265">
        <v>0</v>
      </c>
      <c r="G44" s="265">
        <v>0</v>
      </c>
      <c r="H44" s="265">
        <v>0</v>
      </c>
      <c r="I44" s="265">
        <v>0</v>
      </c>
      <c r="J44" s="265">
        <v>0</v>
      </c>
      <c r="K44" s="265">
        <v>0</v>
      </c>
      <c r="L44" s="265">
        <v>1</v>
      </c>
      <c r="M44" s="266">
        <f t="shared" si="12"/>
        <v>4.4863167339614173E-2</v>
      </c>
      <c r="N44" s="267">
        <v>1</v>
      </c>
      <c r="O44" s="266">
        <f>IFERROR(N44/N$4*100,"-")</f>
        <v>3.3726812816188868E-2</v>
      </c>
    </row>
    <row r="45" spans="1:15" ht="20.100000000000001" customHeight="1">
      <c r="A45" s="262" t="s">
        <v>627</v>
      </c>
      <c r="B45" s="265">
        <f t="shared" si="1"/>
        <v>2</v>
      </c>
      <c r="C45" s="266">
        <f t="shared" si="2"/>
        <v>2.2254367419606097E-2</v>
      </c>
      <c r="D45" s="265">
        <v>0</v>
      </c>
      <c r="E45" s="265">
        <v>0</v>
      </c>
      <c r="F45" s="265">
        <v>0</v>
      </c>
      <c r="G45" s="265">
        <v>0</v>
      </c>
      <c r="H45" s="265">
        <v>0</v>
      </c>
      <c r="I45" s="265">
        <v>0</v>
      </c>
      <c r="J45" s="265">
        <v>0</v>
      </c>
      <c r="K45" s="265">
        <v>0</v>
      </c>
      <c r="L45" s="265">
        <v>1</v>
      </c>
      <c r="M45" s="266">
        <f t="shared" si="12"/>
        <v>4.4863167339614173E-2</v>
      </c>
      <c r="N45" s="267">
        <v>1</v>
      </c>
      <c r="O45" s="266">
        <f>IFERROR(N45/N$4*100,"-")</f>
        <v>3.3726812816188868E-2</v>
      </c>
    </row>
    <row r="46" spans="1:15" ht="20.100000000000001" customHeight="1">
      <c r="A46" s="262" t="s">
        <v>258</v>
      </c>
      <c r="B46" s="265">
        <f t="shared" si="1"/>
        <v>2</v>
      </c>
      <c r="C46" s="266">
        <f t="shared" si="2"/>
        <v>2.2254367419606097E-2</v>
      </c>
      <c r="D46" s="265">
        <v>0</v>
      </c>
      <c r="E46" s="265">
        <v>0</v>
      </c>
      <c r="F46" s="265">
        <v>0</v>
      </c>
      <c r="G46" s="265">
        <v>0</v>
      </c>
      <c r="H46" s="265">
        <v>2</v>
      </c>
      <c r="I46" s="266">
        <f>IFERROR(H46/H$4*100,)</f>
        <v>0.16792611251049538</v>
      </c>
      <c r="J46" s="265">
        <v>0</v>
      </c>
      <c r="K46" s="265">
        <v>0</v>
      </c>
      <c r="L46" s="265">
        <v>0</v>
      </c>
      <c r="M46" s="265">
        <v>0</v>
      </c>
      <c r="N46" s="268">
        <v>0</v>
      </c>
      <c r="O46" s="268">
        <v>0</v>
      </c>
    </row>
    <row r="47" spans="1:15" ht="20.100000000000001" customHeight="1">
      <c r="A47" s="262" t="s">
        <v>263</v>
      </c>
      <c r="B47" s="265">
        <f t="shared" si="1"/>
        <v>1</v>
      </c>
      <c r="C47" s="266">
        <f t="shared" si="2"/>
        <v>1.1127183709803048E-2</v>
      </c>
      <c r="D47" s="265">
        <v>0</v>
      </c>
      <c r="E47" s="265">
        <v>0</v>
      </c>
      <c r="F47" s="265">
        <v>0</v>
      </c>
      <c r="G47" s="265">
        <v>0</v>
      </c>
      <c r="H47" s="265">
        <v>0</v>
      </c>
      <c r="I47" s="265">
        <v>0</v>
      </c>
      <c r="J47" s="265">
        <v>0</v>
      </c>
      <c r="K47" s="265">
        <v>0</v>
      </c>
      <c r="L47" s="265">
        <v>0</v>
      </c>
      <c r="M47" s="265">
        <v>0</v>
      </c>
      <c r="N47" s="267">
        <v>1</v>
      </c>
      <c r="O47" s="266">
        <f>IFERROR(N47/N$4*100,"-")</f>
        <v>3.3726812816188868E-2</v>
      </c>
    </row>
    <row r="48" spans="1:15" ht="20.100000000000001" customHeight="1">
      <c r="A48" s="270" t="s">
        <v>628</v>
      </c>
      <c r="B48" s="271">
        <f t="shared" si="1"/>
        <v>1</v>
      </c>
      <c r="C48" s="272">
        <f t="shared" si="2"/>
        <v>1.1127183709803048E-2</v>
      </c>
      <c r="D48" s="271">
        <v>0</v>
      </c>
      <c r="E48" s="271">
        <v>0</v>
      </c>
      <c r="F48" s="271">
        <v>0</v>
      </c>
      <c r="G48" s="271">
        <v>0</v>
      </c>
      <c r="H48" s="271">
        <v>0</v>
      </c>
      <c r="I48" s="271">
        <v>0</v>
      </c>
      <c r="J48" s="271">
        <v>0</v>
      </c>
      <c r="K48" s="271">
        <v>0</v>
      </c>
      <c r="L48" s="271">
        <v>0</v>
      </c>
      <c r="M48" s="271">
        <v>0</v>
      </c>
      <c r="N48" s="273">
        <v>1</v>
      </c>
      <c r="O48" s="272">
        <f>IFERROR(N48/N$4*100,"-")</f>
        <v>3.3726812816188868E-2</v>
      </c>
    </row>
    <row r="49" spans="1:15" ht="20.100000000000001" customHeight="1">
      <c r="A49" s="262" t="s">
        <v>259</v>
      </c>
      <c r="B49" s="265">
        <f t="shared" si="1"/>
        <v>1</v>
      </c>
      <c r="C49" s="266">
        <f t="shared" si="2"/>
        <v>1.1127183709803048E-2</v>
      </c>
      <c r="D49" s="265">
        <v>0</v>
      </c>
      <c r="E49" s="265">
        <v>0</v>
      </c>
      <c r="F49" s="265">
        <v>0</v>
      </c>
      <c r="G49" s="265">
        <v>0</v>
      </c>
      <c r="H49" s="265">
        <v>0</v>
      </c>
      <c r="I49" s="265">
        <v>0</v>
      </c>
      <c r="J49" s="265">
        <v>1</v>
      </c>
      <c r="K49" s="266">
        <f>IFERROR(J49/J$4*100,"-")</f>
        <v>5.7110222729868647E-2</v>
      </c>
      <c r="L49" s="265">
        <v>0</v>
      </c>
      <c r="M49" s="265">
        <v>0</v>
      </c>
      <c r="N49" s="268">
        <v>0</v>
      </c>
      <c r="O49" s="268">
        <v>0</v>
      </c>
    </row>
    <row r="50" spans="1:15" ht="20.100000000000001" customHeight="1">
      <c r="A50" s="262" t="s">
        <v>264</v>
      </c>
      <c r="B50" s="265">
        <f t="shared" si="1"/>
        <v>1</v>
      </c>
      <c r="C50" s="266">
        <f t="shared" si="2"/>
        <v>1.1127183709803048E-2</v>
      </c>
      <c r="D50" s="265">
        <v>0</v>
      </c>
      <c r="E50" s="265">
        <v>0</v>
      </c>
      <c r="F50" s="265">
        <v>0</v>
      </c>
      <c r="G50" s="265">
        <v>0</v>
      </c>
      <c r="H50" s="265">
        <v>1</v>
      </c>
      <c r="I50" s="266">
        <f>IFERROR(H50/H$4*100,)</f>
        <v>8.3963056255247692E-2</v>
      </c>
      <c r="J50" s="265">
        <v>0</v>
      </c>
      <c r="K50" s="265">
        <v>0</v>
      </c>
      <c r="L50" s="265">
        <v>0</v>
      </c>
      <c r="M50" s="265">
        <v>0</v>
      </c>
      <c r="N50" s="268">
        <v>0</v>
      </c>
      <c r="O50" s="268">
        <v>0</v>
      </c>
    </row>
    <row r="51" spans="1:15" ht="20.100000000000001" customHeight="1">
      <c r="A51" s="262" t="s">
        <v>625</v>
      </c>
      <c r="B51" s="268">
        <f t="shared" si="1"/>
        <v>1</v>
      </c>
      <c r="C51" s="274">
        <f t="shared" si="2"/>
        <v>1.1127183709803048E-2</v>
      </c>
      <c r="D51" s="268">
        <v>0</v>
      </c>
      <c r="E51" s="268">
        <v>0</v>
      </c>
      <c r="F51" s="265">
        <v>0</v>
      </c>
      <c r="G51" s="265">
        <v>0</v>
      </c>
      <c r="H51" s="268">
        <v>0</v>
      </c>
      <c r="I51" s="268">
        <v>0</v>
      </c>
      <c r="J51" s="268">
        <v>0</v>
      </c>
      <c r="K51" s="268">
        <v>0</v>
      </c>
      <c r="L51" s="268">
        <v>1</v>
      </c>
      <c r="M51" s="266">
        <f>IFERROR(L51/L$4*100,"-")</f>
        <v>4.4863167339614173E-2</v>
      </c>
      <c r="N51" s="268">
        <v>0</v>
      </c>
      <c r="O51" s="268">
        <v>0</v>
      </c>
    </row>
    <row r="52" spans="1:15">
      <c r="A52" s="275" t="s">
        <v>261</v>
      </c>
      <c r="B52" s="276">
        <f t="shared" si="1"/>
        <v>1</v>
      </c>
      <c r="C52" s="277">
        <f t="shared" si="2"/>
        <v>1.1127183709803048E-2</v>
      </c>
      <c r="D52" s="276">
        <v>0</v>
      </c>
      <c r="E52" s="276">
        <v>0</v>
      </c>
      <c r="F52" s="276">
        <v>0</v>
      </c>
      <c r="G52" s="276">
        <v>0</v>
      </c>
      <c r="H52" s="276">
        <v>0</v>
      </c>
      <c r="I52" s="276">
        <v>0</v>
      </c>
      <c r="J52" s="276">
        <v>0</v>
      </c>
      <c r="K52" s="276">
        <v>0</v>
      </c>
      <c r="L52" s="276">
        <v>1</v>
      </c>
      <c r="M52" s="277">
        <f>IFERROR(L52/L$4*100,"-")</f>
        <v>4.4863167339614173E-2</v>
      </c>
      <c r="N52" s="278">
        <v>0</v>
      </c>
      <c r="O52" s="278">
        <v>0</v>
      </c>
    </row>
    <row r="53" spans="1:15" ht="18" customHeight="1">
      <c r="A53" s="454" t="s">
        <v>624</v>
      </c>
      <c r="B53" s="454"/>
      <c r="C53" s="454"/>
      <c r="D53" s="454"/>
      <c r="E53" s="266"/>
      <c r="F53" s="265"/>
      <c r="G53" s="266"/>
      <c r="H53" s="265"/>
      <c r="I53" s="266"/>
      <c r="J53" s="265"/>
      <c r="K53" s="266"/>
      <c r="L53" s="265"/>
      <c r="M53" s="266"/>
      <c r="N53" s="265"/>
      <c r="O53" s="266"/>
    </row>
    <row r="54" spans="1:15">
      <c r="A54" s="455" t="s">
        <v>629</v>
      </c>
      <c r="B54" s="455"/>
      <c r="C54" s="455"/>
      <c r="D54" s="455"/>
      <c r="E54" s="455"/>
      <c r="F54" s="455"/>
      <c r="G54" s="455"/>
      <c r="H54" s="455"/>
      <c r="I54" s="455"/>
      <c r="J54" s="455"/>
      <c r="K54" s="455"/>
      <c r="L54" s="279"/>
      <c r="M54" s="280"/>
      <c r="N54" s="279"/>
      <c r="O54" s="280"/>
    </row>
    <row r="55" spans="1:15">
      <c r="A55" s="279"/>
      <c r="B55" s="279"/>
      <c r="C55" s="280"/>
      <c r="D55" s="281"/>
      <c r="E55" s="280"/>
      <c r="F55" s="279"/>
      <c r="G55" s="280"/>
      <c r="H55" s="279"/>
      <c r="I55" s="280"/>
      <c r="J55" s="279"/>
      <c r="K55" s="280"/>
      <c r="L55" s="279"/>
      <c r="M55" s="280"/>
      <c r="N55" s="279"/>
      <c r="O55" s="280"/>
    </row>
  </sheetData>
  <sortState ref="A5:O52">
    <sortCondition descending="1" ref="B5:B52"/>
  </sortState>
  <mergeCells count="11">
    <mergeCell ref="A53:D53"/>
    <mergeCell ref="A54:K54"/>
    <mergeCell ref="A1:O1"/>
    <mergeCell ref="A2:A3"/>
    <mergeCell ref="B2:C2"/>
    <mergeCell ref="D2:E2"/>
    <mergeCell ref="F2:G2"/>
    <mergeCell ref="H2:I2"/>
    <mergeCell ref="J2:K2"/>
    <mergeCell ref="L2:M2"/>
    <mergeCell ref="N2:O2"/>
  </mergeCells>
  <phoneticPr fontId="2" type="noConversion"/>
  <hyperlinks>
    <hyperlink ref="P1" location="本篇表次!A1" display="回本篇表次"/>
  </hyperlinks>
  <printOptions horizontalCentered="1"/>
  <pageMargins left="0.70866141732283472" right="0.70866141732283472" top="0.74803149606299213" bottom="0.74803149606299213" header="0.31496062992125984" footer="0.31496062992125984"/>
  <pageSetup paperSize="224" scale="59"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27"/>
  <sheetViews>
    <sheetView showGridLines="0" workbookViewId="0">
      <pane xSplit="1" topLeftCell="B1" activePane="topRight" state="frozen"/>
      <selection pane="topRight" activeCell="L1" sqref="L1"/>
    </sheetView>
  </sheetViews>
  <sheetFormatPr defaultColWidth="11" defaultRowHeight="16.5"/>
  <cols>
    <col min="1" max="1" width="26.875" customWidth="1"/>
    <col min="2" max="2" width="8.625" customWidth="1"/>
    <col min="3" max="3" width="8.5" customWidth="1"/>
    <col min="4" max="4" width="8.625" customWidth="1"/>
    <col min="5" max="5" width="9.5" customWidth="1"/>
    <col min="6" max="6" width="8.5" customWidth="1"/>
    <col min="7" max="11" width="8.125" customWidth="1"/>
    <col min="12" max="12" width="12.625" bestFit="1" customWidth="1"/>
  </cols>
  <sheetData>
    <row r="1" spans="1:12" ht="20.100000000000001" customHeight="1">
      <c r="A1" s="373" t="s">
        <v>646</v>
      </c>
      <c r="B1" s="373"/>
      <c r="C1" s="373"/>
      <c r="D1" s="373"/>
      <c r="E1" s="373"/>
      <c r="F1" s="373"/>
      <c r="G1" s="373"/>
      <c r="H1" s="373"/>
      <c r="I1" s="373"/>
      <c r="J1" s="373"/>
      <c r="K1" s="373"/>
      <c r="L1" s="348" t="s">
        <v>644</v>
      </c>
    </row>
    <row r="2" spans="1:12" ht="20.100000000000001" customHeight="1">
      <c r="A2" s="19"/>
      <c r="B2" s="461" t="s">
        <v>100</v>
      </c>
      <c r="C2" s="378"/>
      <c r="D2" s="461" t="s">
        <v>101</v>
      </c>
      <c r="E2" s="452"/>
      <c r="F2" s="461" t="s">
        <v>102</v>
      </c>
      <c r="G2" s="452"/>
      <c r="H2" s="461" t="s">
        <v>103</v>
      </c>
      <c r="I2" s="378"/>
      <c r="J2" s="461" t="s">
        <v>104</v>
      </c>
      <c r="K2" s="378"/>
    </row>
    <row r="3" spans="1:12" ht="20.100000000000001" customHeight="1">
      <c r="A3" s="5"/>
      <c r="B3" s="10" t="s">
        <v>105</v>
      </c>
      <c r="C3" s="10" t="s">
        <v>106</v>
      </c>
      <c r="D3" s="10" t="s">
        <v>105</v>
      </c>
      <c r="E3" s="10" t="s">
        <v>106</v>
      </c>
      <c r="F3" s="10" t="s">
        <v>105</v>
      </c>
      <c r="G3" s="10" t="s">
        <v>106</v>
      </c>
      <c r="H3" s="10" t="s">
        <v>105</v>
      </c>
      <c r="I3" s="10" t="s">
        <v>106</v>
      </c>
      <c r="J3" s="10" t="s">
        <v>105</v>
      </c>
      <c r="K3" s="10" t="s">
        <v>106</v>
      </c>
    </row>
    <row r="4" spans="1:12">
      <c r="A4" s="27" t="s">
        <v>107</v>
      </c>
      <c r="B4" s="12">
        <f t="shared" ref="B4:K4" si="0">SUM(B5:B13)</f>
        <v>10374</v>
      </c>
      <c r="C4" s="33">
        <f t="shared" si="0"/>
        <v>100.00000000000001</v>
      </c>
      <c r="D4" s="12">
        <f t="shared" si="0"/>
        <v>9359</v>
      </c>
      <c r="E4" s="33">
        <f t="shared" si="0"/>
        <v>99.999999999999986</v>
      </c>
      <c r="F4" s="12">
        <f t="shared" si="0"/>
        <v>8568</v>
      </c>
      <c r="G4" s="33">
        <f t="shared" si="0"/>
        <v>100</v>
      </c>
      <c r="H4" s="12">
        <f t="shared" si="0"/>
        <v>8132</v>
      </c>
      <c r="I4" s="33">
        <f t="shared" si="0"/>
        <v>99.999999999999986</v>
      </c>
      <c r="J4" s="32">
        <f t="shared" si="0"/>
        <v>8448</v>
      </c>
      <c r="K4" s="33">
        <f t="shared" si="0"/>
        <v>100</v>
      </c>
    </row>
    <row r="5" spans="1:12" ht="20.100000000000001" customHeight="1">
      <c r="A5" s="27" t="s">
        <v>216</v>
      </c>
      <c r="B5" s="6">
        <v>5209</v>
      </c>
      <c r="C5" s="39">
        <f t="shared" ref="C5:C13" si="1">IFERROR(B5/B$4*100,"-")</f>
        <v>50.212068633121262</v>
      </c>
      <c r="D5" s="6">
        <v>4674</v>
      </c>
      <c r="E5" s="39">
        <f t="shared" ref="E5:E13" si="2">IFERROR(D5/D$4*100,"-")</f>
        <v>49.941233037717701</v>
      </c>
      <c r="F5" s="6">
        <v>4361</v>
      </c>
      <c r="G5" s="39">
        <f t="shared" ref="G5:G13" si="3">IFERROR(F5/F$4*100,"-")</f>
        <v>50.898692810457511</v>
      </c>
      <c r="H5" s="6">
        <v>4375</v>
      </c>
      <c r="I5" s="39">
        <f t="shared" ref="I5:I13" si="4">IFERROR(H5/H$4*100,"-")</f>
        <v>53.799803246433839</v>
      </c>
      <c r="J5" s="6">
        <v>4789</v>
      </c>
      <c r="K5" s="39">
        <f t="shared" ref="K5:K13" si="5">IFERROR(J5/J$4*100,"-")</f>
        <v>56.687973484848484</v>
      </c>
    </row>
    <row r="6" spans="1:12" ht="20.100000000000001" customHeight="1">
      <c r="A6" s="27" t="s">
        <v>187</v>
      </c>
      <c r="B6" s="6">
        <v>3859</v>
      </c>
      <c r="C6" s="39">
        <f t="shared" si="1"/>
        <v>37.198766146134567</v>
      </c>
      <c r="D6" s="6">
        <v>3518</v>
      </c>
      <c r="E6" s="39">
        <f t="shared" si="2"/>
        <v>37.589486056202588</v>
      </c>
      <c r="F6" s="6">
        <v>3117</v>
      </c>
      <c r="G6" s="39">
        <f t="shared" si="3"/>
        <v>36.379551820728288</v>
      </c>
      <c r="H6" s="6">
        <v>2816</v>
      </c>
      <c r="I6" s="39">
        <f t="shared" si="4"/>
        <v>34.628627643876051</v>
      </c>
      <c r="J6" s="6">
        <v>2790</v>
      </c>
      <c r="K6" s="39">
        <f t="shared" si="5"/>
        <v>33.02556818181818</v>
      </c>
    </row>
    <row r="7" spans="1:12" ht="20.100000000000001" customHeight="1">
      <c r="A7" s="27" t="s">
        <v>188</v>
      </c>
      <c r="B7" s="6">
        <v>1093</v>
      </c>
      <c r="C7" s="39">
        <f t="shared" si="1"/>
        <v>10.535955272797377</v>
      </c>
      <c r="D7" s="6">
        <v>939</v>
      </c>
      <c r="E7" s="39">
        <f t="shared" si="2"/>
        <v>10.033123196922748</v>
      </c>
      <c r="F7" s="6">
        <v>882</v>
      </c>
      <c r="G7" s="39">
        <f t="shared" si="3"/>
        <v>10.294117647058822</v>
      </c>
      <c r="H7" s="6">
        <v>742</v>
      </c>
      <c r="I7" s="39">
        <f t="shared" si="4"/>
        <v>9.1244466305951804</v>
      </c>
      <c r="J7" s="6">
        <v>663</v>
      </c>
      <c r="K7" s="39">
        <f t="shared" si="5"/>
        <v>7.8480113636363633</v>
      </c>
    </row>
    <row r="8" spans="1:12" ht="20.100000000000001" customHeight="1">
      <c r="A8" s="27" t="s">
        <v>217</v>
      </c>
      <c r="B8" s="6">
        <v>112</v>
      </c>
      <c r="C8" s="39">
        <f t="shared" si="1"/>
        <v>1.0796221322537112</v>
      </c>
      <c r="D8" s="6">
        <v>128</v>
      </c>
      <c r="E8" s="39">
        <f t="shared" si="2"/>
        <v>1.3676674858425046</v>
      </c>
      <c r="F8" s="6">
        <v>112</v>
      </c>
      <c r="G8" s="39">
        <f t="shared" si="3"/>
        <v>1.3071895424836601</v>
      </c>
      <c r="H8" s="6">
        <v>105</v>
      </c>
      <c r="I8" s="39">
        <f t="shared" si="4"/>
        <v>1.2911952779144122</v>
      </c>
      <c r="J8" s="6">
        <v>100</v>
      </c>
      <c r="K8" s="39">
        <f t="shared" si="5"/>
        <v>1.1837121212121211</v>
      </c>
    </row>
    <row r="9" spans="1:12" ht="20.100000000000001" customHeight="1">
      <c r="A9" s="27" t="s">
        <v>189</v>
      </c>
      <c r="B9" s="6">
        <v>40</v>
      </c>
      <c r="C9" s="39">
        <f t="shared" si="1"/>
        <v>0.38557933294775398</v>
      </c>
      <c r="D9" s="6">
        <v>38</v>
      </c>
      <c r="E9" s="39">
        <f t="shared" si="2"/>
        <v>0.40602628485949349</v>
      </c>
      <c r="F9" s="6">
        <v>28</v>
      </c>
      <c r="G9" s="39">
        <f t="shared" si="3"/>
        <v>0.32679738562091504</v>
      </c>
      <c r="H9" s="6">
        <v>40</v>
      </c>
      <c r="I9" s="39">
        <f t="shared" si="4"/>
        <v>0.49188391539596654</v>
      </c>
      <c r="J9" s="6">
        <v>55</v>
      </c>
      <c r="K9" s="39">
        <f t="shared" si="5"/>
        <v>0.65104166666666674</v>
      </c>
    </row>
    <row r="10" spans="1:12" ht="20.100000000000001" customHeight="1">
      <c r="A10" s="92" t="s">
        <v>218</v>
      </c>
      <c r="B10" s="6">
        <v>47</v>
      </c>
      <c r="C10" s="39">
        <f t="shared" si="1"/>
        <v>0.45305571621361096</v>
      </c>
      <c r="D10" s="6">
        <v>46</v>
      </c>
      <c r="E10" s="39">
        <f t="shared" si="2"/>
        <v>0.4915055027246501</v>
      </c>
      <c r="F10" s="6">
        <v>40</v>
      </c>
      <c r="G10" s="39">
        <f t="shared" si="3"/>
        <v>0.46685340802987862</v>
      </c>
      <c r="H10" s="6">
        <v>45</v>
      </c>
      <c r="I10" s="39">
        <f t="shared" si="4"/>
        <v>0.55336940482046237</v>
      </c>
      <c r="J10" s="6">
        <v>44</v>
      </c>
      <c r="K10" s="39">
        <f t="shared" si="5"/>
        <v>0.52083333333333326</v>
      </c>
    </row>
    <row r="11" spans="1:12" ht="20.100000000000001" customHeight="1">
      <c r="A11" s="27" t="s">
        <v>190</v>
      </c>
      <c r="B11" s="6">
        <v>11</v>
      </c>
      <c r="C11" s="39">
        <f t="shared" si="1"/>
        <v>0.10603431656063234</v>
      </c>
      <c r="D11" s="6">
        <v>16</v>
      </c>
      <c r="E11" s="39">
        <f t="shared" si="2"/>
        <v>0.17095843573031308</v>
      </c>
      <c r="F11" s="6">
        <v>28</v>
      </c>
      <c r="G11" s="39">
        <f t="shared" si="3"/>
        <v>0.32679738562091504</v>
      </c>
      <c r="H11" s="6">
        <v>8</v>
      </c>
      <c r="I11" s="39">
        <f t="shared" si="4"/>
        <v>9.83767830791933E-2</v>
      </c>
      <c r="J11" s="6">
        <v>6</v>
      </c>
      <c r="K11" s="39">
        <f t="shared" si="5"/>
        <v>7.1022727272727279E-2</v>
      </c>
    </row>
    <row r="12" spans="1:12" ht="20.100000000000001" customHeight="1">
      <c r="A12" s="27" t="s">
        <v>193</v>
      </c>
      <c r="B12" s="6" t="s">
        <v>77</v>
      </c>
      <c r="C12" s="39" t="str">
        <f>IFERROR(B12/B$4*100,"-")</f>
        <v>-</v>
      </c>
      <c r="D12" s="6" t="s">
        <v>77</v>
      </c>
      <c r="E12" s="39" t="str">
        <f>IFERROR(D12/D$4*100,"-")</f>
        <v>-</v>
      </c>
      <c r="F12" s="6" t="s">
        <v>77</v>
      </c>
      <c r="G12" s="39" t="str">
        <f>IFERROR(F12/F$4*100,"-")</f>
        <v>-</v>
      </c>
      <c r="H12" s="6" t="s">
        <v>77</v>
      </c>
      <c r="I12" s="39" t="str">
        <f>IFERROR(H12/H$4*100,"-")</f>
        <v>-</v>
      </c>
      <c r="J12" s="6" t="s">
        <v>77</v>
      </c>
      <c r="K12" s="39" t="str">
        <f>IFERROR(J12/J$4*100,"-")</f>
        <v>-</v>
      </c>
    </row>
    <row r="13" spans="1:12" ht="20.100000000000001" customHeight="1" thickBot="1">
      <c r="A13" s="40" t="s">
        <v>219</v>
      </c>
      <c r="B13" s="29">
        <v>3</v>
      </c>
      <c r="C13" s="64">
        <f t="shared" si="1"/>
        <v>2.8918449971081547E-2</v>
      </c>
      <c r="D13" s="29" t="s">
        <v>77</v>
      </c>
      <c r="E13" s="64" t="str">
        <f t="shared" si="2"/>
        <v>-</v>
      </c>
      <c r="F13" s="29" t="s">
        <v>77</v>
      </c>
      <c r="G13" s="64" t="str">
        <f t="shared" si="3"/>
        <v>-</v>
      </c>
      <c r="H13" s="29">
        <v>1</v>
      </c>
      <c r="I13" s="64">
        <f t="shared" si="4"/>
        <v>1.2297097884899163E-2</v>
      </c>
      <c r="J13" s="29">
        <v>1</v>
      </c>
      <c r="K13" s="64">
        <f t="shared" si="5"/>
        <v>1.1837121212121212E-2</v>
      </c>
    </row>
    <row r="14" spans="1:12" ht="20.100000000000001" customHeight="1">
      <c r="A14" s="93"/>
      <c r="B14" s="462" t="s">
        <v>115</v>
      </c>
      <c r="C14" s="451"/>
      <c r="D14" s="462" t="s">
        <v>116</v>
      </c>
      <c r="E14" s="451"/>
      <c r="F14" s="462" t="s">
        <v>117</v>
      </c>
      <c r="G14" s="451"/>
      <c r="H14" s="462" t="s">
        <v>118</v>
      </c>
      <c r="I14" s="450"/>
      <c r="J14" s="462" t="s">
        <v>636</v>
      </c>
      <c r="K14" s="450"/>
    </row>
    <row r="15" spans="1:12" ht="20.100000000000001" customHeight="1">
      <c r="A15" s="93"/>
      <c r="B15" s="10" t="s">
        <v>105</v>
      </c>
      <c r="C15" s="10" t="s">
        <v>106</v>
      </c>
      <c r="D15" s="10" t="s">
        <v>105</v>
      </c>
      <c r="E15" s="10" t="s">
        <v>106</v>
      </c>
      <c r="F15" s="10" t="s">
        <v>105</v>
      </c>
      <c r="G15" s="10" t="s">
        <v>106</v>
      </c>
      <c r="H15" s="10" t="s">
        <v>105</v>
      </c>
      <c r="I15" s="10" t="s">
        <v>106</v>
      </c>
      <c r="J15" s="10" t="s">
        <v>220</v>
      </c>
      <c r="K15" s="10" t="s">
        <v>106</v>
      </c>
    </row>
    <row r="16" spans="1:12">
      <c r="A16" s="27" t="s">
        <v>107</v>
      </c>
      <c r="B16" s="32">
        <f t="shared" ref="B16:K16" si="6">SUM(B17:B25)</f>
        <v>7944</v>
      </c>
      <c r="C16" s="33">
        <f t="shared" si="6"/>
        <v>100</v>
      </c>
      <c r="D16" s="32">
        <f t="shared" si="6"/>
        <v>7829</v>
      </c>
      <c r="E16" s="33">
        <f t="shared" si="6"/>
        <v>100.00000000000001</v>
      </c>
      <c r="F16" s="32">
        <f t="shared" si="6"/>
        <v>8765</v>
      </c>
      <c r="G16" s="33">
        <f t="shared" si="6"/>
        <v>100.00000000000001</v>
      </c>
      <c r="H16" s="32">
        <f t="shared" si="6"/>
        <v>8121</v>
      </c>
      <c r="I16" s="33">
        <f t="shared" si="6"/>
        <v>100.00000000000001</v>
      </c>
      <c r="J16" s="32">
        <f t="shared" si="6"/>
        <v>8987</v>
      </c>
      <c r="K16" s="33">
        <f t="shared" si="6"/>
        <v>100</v>
      </c>
    </row>
    <row r="17" spans="1:11" ht="20.100000000000001" customHeight="1">
      <c r="A17" s="27" t="s">
        <v>216</v>
      </c>
      <c r="B17" s="6">
        <v>4610</v>
      </c>
      <c r="C17" s="39">
        <f t="shared" ref="C17:C25" si="7">IFERROR(B17/B$16*100,"-")</f>
        <v>58.031218529707949</v>
      </c>
      <c r="D17" s="6">
        <v>4535</v>
      </c>
      <c r="E17" s="39">
        <f t="shared" ref="E17:E25" si="8">IFERROR(D17/D$16*100,"-")</f>
        <v>57.92566100395964</v>
      </c>
      <c r="F17" s="6">
        <v>5096</v>
      </c>
      <c r="G17" s="39">
        <f t="shared" ref="G17:G25" si="9">IFERROR(F17/F$16*100,"-")</f>
        <v>58.140330861380498</v>
      </c>
      <c r="H17" s="6">
        <v>4771</v>
      </c>
      <c r="I17" s="39">
        <f t="shared" ref="I17:I25" si="10">IFERROR(H17/H$16*100,"-")</f>
        <v>58.74892254648443</v>
      </c>
      <c r="J17" s="6">
        <v>5126</v>
      </c>
      <c r="K17" s="39">
        <f t="shared" ref="K17:K24" si="11">IFERROR(J17/J$16*100,"-")</f>
        <v>57.037943696450434</v>
      </c>
    </row>
    <row r="18" spans="1:11" ht="20.100000000000001" customHeight="1">
      <c r="A18" s="27" t="s">
        <v>187</v>
      </c>
      <c r="B18" s="6">
        <v>2424</v>
      </c>
      <c r="C18" s="39">
        <f t="shared" si="7"/>
        <v>30.513595166163142</v>
      </c>
      <c r="D18" s="6">
        <v>2398</v>
      </c>
      <c r="E18" s="39">
        <f t="shared" si="8"/>
        <v>30.629710052369397</v>
      </c>
      <c r="F18" s="6">
        <v>2921</v>
      </c>
      <c r="G18" s="39">
        <f t="shared" si="9"/>
        <v>33.325727324586424</v>
      </c>
      <c r="H18" s="6">
        <v>2650</v>
      </c>
      <c r="I18" s="39">
        <f t="shared" si="10"/>
        <v>32.631449328900381</v>
      </c>
      <c r="J18" s="6">
        <v>2966</v>
      </c>
      <c r="K18" s="39">
        <f t="shared" si="11"/>
        <v>33.003226883275843</v>
      </c>
    </row>
    <row r="19" spans="1:11" ht="20.100000000000001" customHeight="1">
      <c r="A19" s="27" t="s">
        <v>188</v>
      </c>
      <c r="B19" s="6">
        <v>725</v>
      </c>
      <c r="C19" s="39">
        <f t="shared" si="7"/>
        <v>9.1263846928499497</v>
      </c>
      <c r="D19" s="6">
        <v>697</v>
      </c>
      <c r="E19" s="39">
        <f t="shared" si="8"/>
        <v>8.9027972921190432</v>
      </c>
      <c r="F19" s="6">
        <v>550</v>
      </c>
      <c r="G19" s="39">
        <f t="shared" si="9"/>
        <v>6.2749572162007983</v>
      </c>
      <c r="H19" s="6">
        <v>518</v>
      </c>
      <c r="I19" s="39">
        <f t="shared" si="10"/>
        <v>6.378524812215244</v>
      </c>
      <c r="J19" s="6">
        <v>693</v>
      </c>
      <c r="K19" s="39">
        <f t="shared" si="11"/>
        <v>7.7111383108935128</v>
      </c>
    </row>
    <row r="20" spans="1:11" ht="20.100000000000001" customHeight="1">
      <c r="A20" s="27" t="s">
        <v>217</v>
      </c>
      <c r="B20" s="6">
        <v>51</v>
      </c>
      <c r="C20" s="39">
        <f t="shared" si="7"/>
        <v>0.64199395770392753</v>
      </c>
      <c r="D20" s="6">
        <v>85</v>
      </c>
      <c r="E20" s="39">
        <f t="shared" si="8"/>
        <v>1.0857069868437859</v>
      </c>
      <c r="F20" s="6">
        <v>80</v>
      </c>
      <c r="G20" s="39">
        <f t="shared" si="9"/>
        <v>0.91272104962920697</v>
      </c>
      <c r="H20" s="6">
        <v>76</v>
      </c>
      <c r="I20" s="39">
        <f t="shared" si="10"/>
        <v>0.93584533924393543</v>
      </c>
      <c r="J20" s="6">
        <v>99</v>
      </c>
      <c r="K20" s="39">
        <f t="shared" si="11"/>
        <v>1.101591187270502</v>
      </c>
    </row>
    <row r="21" spans="1:11" ht="20.100000000000001" customHeight="1">
      <c r="A21" s="27" t="s">
        <v>189</v>
      </c>
      <c r="B21" s="6">
        <v>56</v>
      </c>
      <c r="C21" s="39">
        <f t="shared" si="7"/>
        <v>0.70493454179254789</v>
      </c>
      <c r="D21" s="6">
        <v>52</v>
      </c>
      <c r="E21" s="39">
        <f t="shared" si="8"/>
        <v>0.66419721548090438</v>
      </c>
      <c r="F21" s="6">
        <v>49</v>
      </c>
      <c r="G21" s="39">
        <f t="shared" si="9"/>
        <v>0.55904164289788927</v>
      </c>
      <c r="H21" s="6">
        <v>58</v>
      </c>
      <c r="I21" s="39">
        <f t="shared" si="10"/>
        <v>0.71419775889668757</v>
      </c>
      <c r="J21" s="6">
        <v>61</v>
      </c>
      <c r="K21" s="39">
        <f t="shared" si="11"/>
        <v>0.678758206297986</v>
      </c>
    </row>
    <row r="22" spans="1:11" ht="20.100000000000001" customHeight="1">
      <c r="A22" s="92" t="s">
        <v>218</v>
      </c>
      <c r="B22" s="6">
        <v>50</v>
      </c>
      <c r="C22" s="39">
        <f t="shared" si="7"/>
        <v>0.62940584088620344</v>
      </c>
      <c r="D22" s="6">
        <v>42</v>
      </c>
      <c r="E22" s="39">
        <f t="shared" si="8"/>
        <v>0.53646698173457652</v>
      </c>
      <c r="F22" s="6">
        <v>59</v>
      </c>
      <c r="G22" s="39">
        <f t="shared" si="9"/>
        <v>0.67313177410154024</v>
      </c>
      <c r="H22" s="6">
        <v>40</v>
      </c>
      <c r="I22" s="39">
        <f t="shared" si="10"/>
        <v>0.49255017854943972</v>
      </c>
      <c r="J22" s="6">
        <v>29</v>
      </c>
      <c r="K22" s="39">
        <f t="shared" si="11"/>
        <v>0.32268832758428839</v>
      </c>
    </row>
    <row r="23" spans="1:11" ht="20.100000000000001" customHeight="1">
      <c r="A23" s="27" t="s">
        <v>190</v>
      </c>
      <c r="B23" s="6">
        <v>28</v>
      </c>
      <c r="C23" s="39">
        <f t="shared" si="7"/>
        <v>0.35246727089627394</v>
      </c>
      <c r="D23" s="6">
        <v>18</v>
      </c>
      <c r="E23" s="39">
        <f t="shared" si="8"/>
        <v>0.22991442074338994</v>
      </c>
      <c r="F23" s="6">
        <v>10</v>
      </c>
      <c r="G23" s="39">
        <f t="shared" si="9"/>
        <v>0.11409013120365087</v>
      </c>
      <c r="H23" s="6">
        <v>8</v>
      </c>
      <c r="I23" s="39">
        <f t="shared" si="10"/>
        <v>9.8510035709887936E-2</v>
      </c>
      <c r="J23" s="6">
        <v>12</v>
      </c>
      <c r="K23" s="39">
        <f t="shared" si="11"/>
        <v>0.13352620451763658</v>
      </c>
    </row>
    <row r="24" spans="1:11" ht="20.100000000000001" customHeight="1">
      <c r="A24" s="27" t="s">
        <v>193</v>
      </c>
      <c r="B24" s="6" t="s">
        <v>77</v>
      </c>
      <c r="C24" s="39" t="str">
        <f t="shared" si="7"/>
        <v>-</v>
      </c>
      <c r="D24" s="6" t="s">
        <v>77</v>
      </c>
      <c r="E24" s="39" t="str">
        <f t="shared" si="8"/>
        <v>-</v>
      </c>
      <c r="F24" s="6" t="s">
        <v>77</v>
      </c>
      <c r="G24" s="39" t="str">
        <f t="shared" si="9"/>
        <v>-</v>
      </c>
      <c r="H24" s="6" t="s">
        <v>77</v>
      </c>
      <c r="I24" s="39" t="str">
        <f t="shared" si="10"/>
        <v>-</v>
      </c>
      <c r="J24" s="6">
        <v>1</v>
      </c>
      <c r="K24" s="39">
        <f t="shared" si="11"/>
        <v>1.1127183709803048E-2</v>
      </c>
    </row>
    <row r="25" spans="1:11" ht="20.100000000000001" customHeight="1">
      <c r="A25" s="38" t="s">
        <v>219</v>
      </c>
      <c r="B25" s="8" t="s">
        <v>77</v>
      </c>
      <c r="C25" s="52" t="str">
        <f t="shared" si="7"/>
        <v>-</v>
      </c>
      <c r="D25" s="8">
        <v>2</v>
      </c>
      <c r="E25" s="52">
        <f t="shared" si="8"/>
        <v>2.5546046749265552E-2</v>
      </c>
      <c r="F25" s="8" t="s">
        <v>77</v>
      </c>
      <c r="G25" s="52" t="str">
        <f t="shared" si="9"/>
        <v>-</v>
      </c>
      <c r="H25" s="8" t="s">
        <v>77</v>
      </c>
      <c r="I25" s="52" t="str">
        <f t="shared" si="10"/>
        <v>-</v>
      </c>
      <c r="J25" s="8">
        <v>0</v>
      </c>
      <c r="K25" s="8">
        <v>0</v>
      </c>
    </row>
    <row r="26" spans="1:11">
      <c r="A26" s="417" t="s">
        <v>194</v>
      </c>
      <c r="B26" s="417"/>
      <c r="C26" s="417"/>
      <c r="D26" s="59"/>
      <c r="E26" s="59"/>
      <c r="F26" s="59"/>
      <c r="G26" s="59"/>
      <c r="H26" s="96"/>
      <c r="I26" s="87"/>
      <c r="J26" s="86"/>
      <c r="K26" s="86"/>
    </row>
    <row r="27" spans="1:11" ht="30.75" customHeight="1">
      <c r="A27" s="446" t="s">
        <v>632</v>
      </c>
      <c r="B27" s="446"/>
      <c r="C27" s="446"/>
      <c r="D27" s="446"/>
      <c r="E27" s="446"/>
      <c r="F27" s="446"/>
      <c r="G27" s="446"/>
      <c r="H27" s="446"/>
      <c r="I27" s="446"/>
      <c r="J27" s="446"/>
      <c r="K27" s="446"/>
    </row>
  </sheetData>
  <sortState ref="A17:K25">
    <sortCondition descending="1" ref="J17:J25"/>
  </sortState>
  <mergeCells count="13">
    <mergeCell ref="A27:K27"/>
    <mergeCell ref="B14:C14"/>
    <mergeCell ref="D14:E14"/>
    <mergeCell ref="F14:G14"/>
    <mergeCell ref="H14:I14"/>
    <mergeCell ref="J14:K14"/>
    <mergeCell ref="A26:C26"/>
    <mergeCell ref="A1:K1"/>
    <mergeCell ref="B2:C2"/>
    <mergeCell ref="D2:E2"/>
    <mergeCell ref="F2:G2"/>
    <mergeCell ref="H2:I2"/>
    <mergeCell ref="J2:K2"/>
  </mergeCells>
  <phoneticPr fontId="2" type="noConversion"/>
  <hyperlinks>
    <hyperlink ref="L1" location="本篇表次!A1" display="回本篇表次"/>
  </hyperlinks>
  <printOptions horizontalCentered="1" verticalCentered="1"/>
  <pageMargins left="0.70866141732283472" right="0.70866141732283472" top="0.74803149606299213" bottom="0.74803149606299213" header="0.31496062992125984" footer="0.31496062992125984"/>
  <pageSetup paperSize="224" scale="73"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27"/>
  <sheetViews>
    <sheetView showGridLines="0" zoomScale="82" workbookViewId="0">
      <pane xSplit="1" topLeftCell="E1" activePane="topRight" state="frozen"/>
      <selection pane="topRight" activeCell="V1" sqref="V1"/>
    </sheetView>
  </sheetViews>
  <sheetFormatPr defaultColWidth="7.625" defaultRowHeight="16.5"/>
  <cols>
    <col min="1" max="1" width="15.625" customWidth="1"/>
    <col min="22" max="22" width="12.875" bestFit="1" customWidth="1"/>
  </cols>
  <sheetData>
    <row r="1" spans="1:22" ht="26.1" customHeight="1">
      <c r="A1" s="373" t="s">
        <v>647</v>
      </c>
      <c r="B1" s="373"/>
      <c r="C1" s="373"/>
      <c r="D1" s="373"/>
      <c r="E1" s="373"/>
      <c r="F1" s="373"/>
      <c r="G1" s="373"/>
      <c r="H1" s="373"/>
      <c r="I1" s="373"/>
      <c r="J1" s="373"/>
      <c r="K1" s="373"/>
      <c r="L1" s="373"/>
      <c r="M1" s="373"/>
      <c r="N1" s="373"/>
      <c r="O1" s="373"/>
      <c r="P1" s="373"/>
      <c r="Q1" s="373"/>
      <c r="R1" s="373"/>
      <c r="S1" s="373"/>
      <c r="T1" s="373"/>
      <c r="U1" s="373"/>
      <c r="V1" s="348" t="s">
        <v>644</v>
      </c>
    </row>
    <row r="2" spans="1:22" ht="20.100000000000001" customHeight="1">
      <c r="A2" s="463"/>
      <c r="B2" s="378" t="s">
        <v>206</v>
      </c>
      <c r="C2" s="378"/>
      <c r="D2" s="378"/>
      <c r="E2" s="378"/>
      <c r="F2" s="378" t="s">
        <v>50</v>
      </c>
      <c r="G2" s="378"/>
      <c r="H2" s="378"/>
      <c r="I2" s="378"/>
      <c r="J2" s="378" t="s">
        <v>51</v>
      </c>
      <c r="K2" s="452"/>
      <c r="L2" s="452"/>
      <c r="M2" s="452"/>
      <c r="N2" s="378" t="s">
        <v>52</v>
      </c>
      <c r="O2" s="378"/>
      <c r="P2" s="378"/>
      <c r="Q2" s="378"/>
      <c r="R2" s="378" t="s">
        <v>53</v>
      </c>
      <c r="S2" s="378"/>
      <c r="T2" s="378"/>
      <c r="U2" s="378"/>
    </row>
    <row r="3" spans="1:22" ht="20.100000000000001" customHeight="1">
      <c r="A3" s="464"/>
      <c r="B3" s="378" t="s">
        <v>207</v>
      </c>
      <c r="C3" s="378"/>
      <c r="D3" s="378"/>
      <c r="E3" s="463" t="s">
        <v>208</v>
      </c>
      <c r="F3" s="378" t="s">
        <v>207</v>
      </c>
      <c r="G3" s="378"/>
      <c r="H3" s="378"/>
      <c r="I3" s="463" t="s">
        <v>208</v>
      </c>
      <c r="J3" s="378" t="s">
        <v>207</v>
      </c>
      <c r="K3" s="452"/>
      <c r="L3" s="452"/>
      <c r="M3" s="463" t="s">
        <v>208</v>
      </c>
      <c r="N3" s="378" t="s">
        <v>207</v>
      </c>
      <c r="O3" s="378"/>
      <c r="P3" s="378"/>
      <c r="Q3" s="463" t="s">
        <v>208</v>
      </c>
      <c r="R3" s="378" t="s">
        <v>207</v>
      </c>
      <c r="S3" s="378"/>
      <c r="T3" s="378"/>
      <c r="U3" s="463" t="s">
        <v>208</v>
      </c>
    </row>
    <row r="4" spans="1:22" ht="20.100000000000001" customHeight="1">
      <c r="A4" s="464"/>
      <c r="B4" s="10" t="s">
        <v>65</v>
      </c>
      <c r="C4" s="89" t="s">
        <v>98</v>
      </c>
      <c r="D4" s="89" t="s">
        <v>99</v>
      </c>
      <c r="E4" s="450"/>
      <c r="F4" s="10" t="s">
        <v>65</v>
      </c>
      <c r="G4" s="89" t="s">
        <v>98</v>
      </c>
      <c r="H4" s="89" t="s">
        <v>99</v>
      </c>
      <c r="I4" s="450"/>
      <c r="J4" s="10" t="s">
        <v>65</v>
      </c>
      <c r="K4" s="89" t="s">
        <v>98</v>
      </c>
      <c r="L4" s="89" t="s">
        <v>99</v>
      </c>
      <c r="M4" s="451"/>
      <c r="N4" s="10" t="s">
        <v>65</v>
      </c>
      <c r="O4" s="89" t="s">
        <v>98</v>
      </c>
      <c r="P4" s="89" t="s">
        <v>99</v>
      </c>
      <c r="Q4" s="450"/>
      <c r="R4" s="10" t="s">
        <v>65</v>
      </c>
      <c r="S4" s="89" t="s">
        <v>98</v>
      </c>
      <c r="T4" s="89" t="s">
        <v>99</v>
      </c>
      <c r="U4" s="450"/>
    </row>
    <row r="5" spans="1:22" ht="20.100000000000001" customHeight="1">
      <c r="A5" s="27" t="s">
        <v>65</v>
      </c>
      <c r="B5" s="77">
        <f t="shared" ref="B5:B10" si="0">SUM(C5,D5)</f>
        <v>10374</v>
      </c>
      <c r="C5" s="77">
        <v>8961</v>
      </c>
      <c r="D5" s="77">
        <v>1413</v>
      </c>
      <c r="E5" s="78">
        <f>SUM(E6:E10)</f>
        <v>100</v>
      </c>
      <c r="F5" s="77">
        <f t="shared" ref="F5:F10" si="1">SUM(G5,H5)</f>
        <v>9359</v>
      </c>
      <c r="G5" s="77">
        <v>8144</v>
      </c>
      <c r="H5" s="77">
        <v>1215</v>
      </c>
      <c r="I5" s="78">
        <f>SUM(I6:I10)</f>
        <v>100</v>
      </c>
      <c r="J5" s="79">
        <f t="shared" ref="J5:J10" si="2">SUM(K5,L5)</f>
        <v>8568</v>
      </c>
      <c r="K5" s="79">
        <v>7410</v>
      </c>
      <c r="L5" s="79">
        <v>1158</v>
      </c>
      <c r="M5" s="78">
        <f>SUM(M6:M10)</f>
        <v>100</v>
      </c>
      <c r="N5" s="77">
        <f t="shared" ref="N5:N10" si="3">SUM(O5,P5)</f>
        <v>8132</v>
      </c>
      <c r="O5" s="77">
        <v>7042</v>
      </c>
      <c r="P5" s="77">
        <v>1090</v>
      </c>
      <c r="Q5" s="78">
        <f>SUM(Q6:Q10)</f>
        <v>100</v>
      </c>
      <c r="R5" s="77">
        <f t="shared" ref="R5:R10" si="4">SUM(S5,T5)</f>
        <v>8448</v>
      </c>
      <c r="S5" s="77">
        <v>7351</v>
      </c>
      <c r="T5" s="77">
        <v>1097</v>
      </c>
      <c r="U5" s="78">
        <f>SUM(U6:U10)</f>
        <v>100.00000000000001</v>
      </c>
    </row>
    <row r="6" spans="1:22" ht="20.100000000000001" customHeight="1">
      <c r="A6" s="27" t="s">
        <v>209</v>
      </c>
      <c r="B6" s="77">
        <f t="shared" si="0"/>
        <v>5674</v>
      </c>
      <c r="C6" s="77">
        <v>4855</v>
      </c>
      <c r="D6" s="77">
        <v>819</v>
      </c>
      <c r="E6" s="78">
        <f>IFERROR(B6/B$5*100,"-")</f>
        <v>54.694428378638904</v>
      </c>
      <c r="F6" s="77">
        <f t="shared" si="1"/>
        <v>5063</v>
      </c>
      <c r="G6" s="77">
        <v>4382</v>
      </c>
      <c r="H6" s="77">
        <v>681</v>
      </c>
      <c r="I6" s="78">
        <f>IFERROR(F6/F$5*100,"-")</f>
        <v>54.097660006410941</v>
      </c>
      <c r="J6" s="77">
        <f t="shared" si="2"/>
        <v>4464</v>
      </c>
      <c r="K6" s="77">
        <v>3870</v>
      </c>
      <c r="L6" s="77">
        <v>594</v>
      </c>
      <c r="M6" s="78">
        <f>IFERROR(J6/J$5*100,"-")</f>
        <v>52.100840336134461</v>
      </c>
      <c r="N6" s="77">
        <f t="shared" si="3"/>
        <v>4176</v>
      </c>
      <c r="O6" s="77">
        <v>3591</v>
      </c>
      <c r="P6" s="77">
        <v>585</v>
      </c>
      <c r="Q6" s="78">
        <f>IFERROR(N6/N$5*100,"-")</f>
        <v>51.35268076733891</v>
      </c>
      <c r="R6" s="77">
        <f t="shared" si="4"/>
        <v>4203</v>
      </c>
      <c r="S6" s="77">
        <v>3672</v>
      </c>
      <c r="T6" s="77">
        <v>531</v>
      </c>
      <c r="U6" s="78">
        <f>IFERROR(R6/R$5*100,"-")</f>
        <v>49.751420454545453</v>
      </c>
    </row>
    <row r="7" spans="1:22" ht="20.100000000000001" customHeight="1">
      <c r="A7" s="27" t="s">
        <v>210</v>
      </c>
      <c r="B7" s="77">
        <f t="shared" si="0"/>
        <v>1599</v>
      </c>
      <c r="C7" s="77">
        <v>1462</v>
      </c>
      <c r="D7" s="77">
        <v>137</v>
      </c>
      <c r="E7" s="78">
        <f>IFERROR(B7/B$5*100,"-")</f>
        <v>15.413533834586465</v>
      </c>
      <c r="F7" s="77">
        <f t="shared" si="1"/>
        <v>1591</v>
      </c>
      <c r="G7" s="77">
        <v>1464</v>
      </c>
      <c r="H7" s="77">
        <v>127</v>
      </c>
      <c r="I7" s="78">
        <f>IFERROR(F7/F$5*100,"-")</f>
        <v>16.999679452933005</v>
      </c>
      <c r="J7" s="77">
        <f t="shared" si="2"/>
        <v>1585</v>
      </c>
      <c r="K7" s="77">
        <v>1440</v>
      </c>
      <c r="L7" s="77">
        <v>145</v>
      </c>
      <c r="M7" s="78">
        <f>IFERROR(J7/J$5*100,"-")</f>
        <v>18.49906629318394</v>
      </c>
      <c r="N7" s="77">
        <f t="shared" si="3"/>
        <v>1502</v>
      </c>
      <c r="O7" s="77">
        <v>1372</v>
      </c>
      <c r="P7" s="77">
        <v>130</v>
      </c>
      <c r="Q7" s="78">
        <f>IFERROR(N7/N$5*100,"-")</f>
        <v>18.470241023118543</v>
      </c>
      <c r="R7" s="77">
        <f t="shared" si="4"/>
        <v>1574</v>
      </c>
      <c r="S7" s="77">
        <v>1437</v>
      </c>
      <c r="T7" s="77">
        <v>137</v>
      </c>
      <c r="U7" s="78">
        <f>IFERROR(R7/R$5*100,"-")</f>
        <v>18.631628787878789</v>
      </c>
    </row>
    <row r="8" spans="1:22" ht="20.100000000000001" customHeight="1">
      <c r="A8" s="27" t="s">
        <v>211</v>
      </c>
      <c r="B8" s="77">
        <f t="shared" si="0"/>
        <v>1769</v>
      </c>
      <c r="C8" s="77">
        <v>1502</v>
      </c>
      <c r="D8" s="77">
        <v>267</v>
      </c>
      <c r="E8" s="78">
        <f>IFERROR(B8/B$5*100,"-")</f>
        <v>17.052245999614421</v>
      </c>
      <c r="F8" s="77">
        <f t="shared" si="1"/>
        <v>1523</v>
      </c>
      <c r="G8" s="77">
        <v>1252</v>
      </c>
      <c r="H8" s="77">
        <v>271</v>
      </c>
      <c r="I8" s="78">
        <f>IFERROR(F8/F$5*100,"-")</f>
        <v>16.273106101079176</v>
      </c>
      <c r="J8" s="77">
        <f t="shared" si="2"/>
        <v>1401</v>
      </c>
      <c r="K8" s="77">
        <v>1147</v>
      </c>
      <c r="L8" s="77">
        <v>254</v>
      </c>
      <c r="M8" s="78">
        <f>IFERROR(J8/J$5*100,"-")</f>
        <v>16.351540616246499</v>
      </c>
      <c r="N8" s="77">
        <f t="shared" si="3"/>
        <v>1461</v>
      </c>
      <c r="O8" s="77">
        <v>1234</v>
      </c>
      <c r="P8" s="77">
        <v>227</v>
      </c>
      <c r="Q8" s="78">
        <f>IFERROR(N8/N$5*100,"-")</f>
        <v>17.96606000983768</v>
      </c>
      <c r="R8" s="77">
        <f t="shared" si="4"/>
        <v>1647</v>
      </c>
      <c r="S8" s="77">
        <v>1376</v>
      </c>
      <c r="T8" s="77">
        <v>271</v>
      </c>
      <c r="U8" s="78">
        <f>IFERROR(R8/R$5*100,"-")</f>
        <v>19.495738636363637</v>
      </c>
    </row>
    <row r="9" spans="1:22" ht="20.100000000000001" customHeight="1">
      <c r="A9" s="27" t="s">
        <v>212</v>
      </c>
      <c r="B9" s="77">
        <f t="shared" si="0"/>
        <v>642</v>
      </c>
      <c r="C9" s="77">
        <v>570</v>
      </c>
      <c r="D9" s="77">
        <v>72</v>
      </c>
      <c r="E9" s="78">
        <f>IFERROR(B9/B$5*100,"-")</f>
        <v>6.1885482938114516</v>
      </c>
      <c r="F9" s="77">
        <f t="shared" si="1"/>
        <v>607</v>
      </c>
      <c r="G9" s="77">
        <v>551</v>
      </c>
      <c r="H9" s="77">
        <v>56</v>
      </c>
      <c r="I9" s="78">
        <f>IFERROR(F9/F$5*100,"-")</f>
        <v>6.4857356555187522</v>
      </c>
      <c r="J9" s="77">
        <f t="shared" si="2"/>
        <v>599</v>
      </c>
      <c r="K9" s="77">
        <v>526</v>
      </c>
      <c r="L9" s="77">
        <v>73</v>
      </c>
      <c r="M9" s="78">
        <f>IFERROR(J9/J$5*100,"-")</f>
        <v>6.9911297852474323</v>
      </c>
      <c r="N9" s="77">
        <f t="shared" si="3"/>
        <v>536</v>
      </c>
      <c r="O9" s="77">
        <v>463</v>
      </c>
      <c r="P9" s="77">
        <v>73</v>
      </c>
      <c r="Q9" s="78">
        <f>IFERROR(N9/N$5*100,"-")</f>
        <v>6.5912444663059526</v>
      </c>
      <c r="R9" s="77">
        <f t="shared" si="4"/>
        <v>639</v>
      </c>
      <c r="S9" s="77">
        <v>540</v>
      </c>
      <c r="T9" s="77">
        <v>99</v>
      </c>
      <c r="U9" s="78">
        <f>IFERROR(R9/R$5*100,"-")</f>
        <v>7.5639204545454541</v>
      </c>
    </row>
    <row r="10" spans="1:22" ht="20.100000000000001" customHeight="1" thickBot="1">
      <c r="A10" s="40" t="s">
        <v>213</v>
      </c>
      <c r="B10" s="90">
        <f t="shared" si="0"/>
        <v>690</v>
      </c>
      <c r="C10" s="90">
        <v>572</v>
      </c>
      <c r="D10" s="90">
        <v>118</v>
      </c>
      <c r="E10" s="91">
        <f>IFERROR(B10/B$5*100,"-")</f>
        <v>6.6512434933487556</v>
      </c>
      <c r="F10" s="90">
        <f t="shared" si="1"/>
        <v>575</v>
      </c>
      <c r="G10" s="90">
        <v>495</v>
      </c>
      <c r="H10" s="90">
        <v>80</v>
      </c>
      <c r="I10" s="91">
        <f>IFERROR(F10/F$5*100,"-")</f>
        <v>6.1438187840581255</v>
      </c>
      <c r="J10" s="90">
        <f t="shared" si="2"/>
        <v>519</v>
      </c>
      <c r="K10" s="90">
        <v>427</v>
      </c>
      <c r="L10" s="90">
        <v>92</v>
      </c>
      <c r="M10" s="91">
        <f>IFERROR(J10/J$5*100,"-")</f>
        <v>6.0574229691876749</v>
      </c>
      <c r="N10" s="90">
        <f t="shared" si="3"/>
        <v>457</v>
      </c>
      <c r="O10" s="90">
        <v>382</v>
      </c>
      <c r="P10" s="90">
        <v>75</v>
      </c>
      <c r="Q10" s="91">
        <f>IFERROR(N10/N$5*100,"-")</f>
        <v>5.6197737333989179</v>
      </c>
      <c r="R10" s="90">
        <f t="shared" si="4"/>
        <v>385</v>
      </c>
      <c r="S10" s="90">
        <v>326</v>
      </c>
      <c r="T10" s="90">
        <v>59</v>
      </c>
      <c r="U10" s="91">
        <f>IFERROR(R10/R$5*100,"-")</f>
        <v>4.5572916666666661</v>
      </c>
    </row>
    <row r="11" spans="1:22" ht="20.100000000000001" customHeight="1" thickTop="1">
      <c r="A11" s="464"/>
      <c r="B11" s="450" t="s">
        <v>54</v>
      </c>
      <c r="C11" s="450"/>
      <c r="D11" s="450"/>
      <c r="E11" s="450"/>
      <c r="F11" s="466" t="s">
        <v>55</v>
      </c>
      <c r="G11" s="467"/>
      <c r="H11" s="467"/>
      <c r="I11" s="467"/>
      <c r="J11" s="466" t="s">
        <v>214</v>
      </c>
      <c r="K11" s="467"/>
      <c r="L11" s="467"/>
      <c r="M11" s="467"/>
      <c r="N11" s="466" t="s">
        <v>123</v>
      </c>
      <c r="O11" s="467"/>
      <c r="P11" s="467"/>
      <c r="Q11" s="467"/>
      <c r="R11" s="466" t="s">
        <v>635</v>
      </c>
      <c r="S11" s="467"/>
      <c r="T11" s="467"/>
      <c r="U11" s="467"/>
    </row>
    <row r="12" spans="1:22" ht="20.100000000000001" customHeight="1">
      <c r="A12" s="464"/>
      <c r="B12" s="378" t="s">
        <v>207</v>
      </c>
      <c r="C12" s="378"/>
      <c r="D12" s="378"/>
      <c r="E12" s="463" t="s">
        <v>208</v>
      </c>
      <c r="F12" s="378" t="s">
        <v>207</v>
      </c>
      <c r="G12" s="378"/>
      <c r="H12" s="378"/>
      <c r="I12" s="463" t="s">
        <v>208</v>
      </c>
      <c r="J12" s="378" t="s">
        <v>207</v>
      </c>
      <c r="K12" s="452"/>
      <c r="L12" s="452"/>
      <c r="M12" s="463" t="s">
        <v>208</v>
      </c>
      <c r="N12" s="378" t="s">
        <v>207</v>
      </c>
      <c r="O12" s="452"/>
      <c r="P12" s="452"/>
      <c r="Q12" s="463" t="s">
        <v>208</v>
      </c>
      <c r="R12" s="378" t="s">
        <v>207</v>
      </c>
      <c r="S12" s="378"/>
      <c r="T12" s="378"/>
      <c r="U12" s="463" t="s">
        <v>208</v>
      </c>
    </row>
    <row r="13" spans="1:22" ht="20.100000000000001" customHeight="1">
      <c r="A13" s="464"/>
      <c r="B13" s="10" t="s">
        <v>65</v>
      </c>
      <c r="C13" s="89" t="s">
        <v>98</v>
      </c>
      <c r="D13" s="89" t="s">
        <v>99</v>
      </c>
      <c r="E13" s="450"/>
      <c r="F13" s="10" t="s">
        <v>65</v>
      </c>
      <c r="G13" s="89" t="s">
        <v>98</v>
      </c>
      <c r="H13" s="89" t="s">
        <v>99</v>
      </c>
      <c r="I13" s="451"/>
      <c r="J13" s="10" t="s">
        <v>65</v>
      </c>
      <c r="K13" s="89" t="s">
        <v>98</v>
      </c>
      <c r="L13" s="89" t="s">
        <v>99</v>
      </c>
      <c r="M13" s="451"/>
      <c r="N13" s="10" t="s">
        <v>65</v>
      </c>
      <c r="O13" s="89" t="s">
        <v>98</v>
      </c>
      <c r="P13" s="89" t="s">
        <v>99</v>
      </c>
      <c r="Q13" s="451"/>
      <c r="R13" s="10" t="s">
        <v>65</v>
      </c>
      <c r="S13" s="89" t="s">
        <v>98</v>
      </c>
      <c r="T13" s="89" t="s">
        <v>99</v>
      </c>
      <c r="U13" s="450"/>
    </row>
    <row r="14" spans="1:22" ht="20.100000000000001" customHeight="1">
      <c r="A14" s="27" t="s">
        <v>65</v>
      </c>
      <c r="B14" s="77">
        <f t="shared" ref="B14:B19" si="5">SUM(C14,D14)</f>
        <v>7944</v>
      </c>
      <c r="C14" s="77">
        <v>6907</v>
      </c>
      <c r="D14" s="77">
        <v>1037</v>
      </c>
      <c r="E14" s="78">
        <f>SUM(E15:E19)</f>
        <v>100</v>
      </c>
      <c r="F14" s="77">
        <f t="shared" ref="F14:F19" si="6">SUM(G14,H14)</f>
        <v>7829</v>
      </c>
      <c r="G14" s="77">
        <v>6803</v>
      </c>
      <c r="H14" s="77">
        <v>1026</v>
      </c>
      <c r="I14" s="78">
        <f>SUM(I15:I19)</f>
        <v>100</v>
      </c>
      <c r="J14" s="79">
        <f t="shared" ref="J14:J19" si="7">SUM(K14,L14)</f>
        <v>8765</v>
      </c>
      <c r="K14" s="79">
        <f>SUM(K15:K19)</f>
        <v>7611</v>
      </c>
      <c r="L14" s="79">
        <f>SUM(L15:L19)</f>
        <v>1154</v>
      </c>
      <c r="M14" s="78">
        <f>SUM(M15:M19)</f>
        <v>100.00000000000003</v>
      </c>
      <c r="N14" s="79">
        <f t="shared" ref="N14:N19" si="8">SUM(O14,P14)</f>
        <v>8121</v>
      </c>
      <c r="O14" s="79">
        <f>SUM(O15:O19)</f>
        <v>7031</v>
      </c>
      <c r="P14" s="79">
        <f>SUM(P15:P19)</f>
        <v>1090</v>
      </c>
      <c r="Q14" s="78">
        <f>SUM(Q15:Q19)</f>
        <v>100.00000000000001</v>
      </c>
      <c r="R14" s="79">
        <f t="shared" ref="R14:R19" si="9">SUM(S14,T14)</f>
        <v>8987</v>
      </c>
      <c r="S14" s="79">
        <f>SUM(S15:S19)</f>
        <v>7780</v>
      </c>
      <c r="T14" s="79">
        <f>SUM(T15:T19)</f>
        <v>1207</v>
      </c>
      <c r="U14" s="78">
        <f>SUM(U15:U19)</f>
        <v>100</v>
      </c>
    </row>
    <row r="15" spans="1:22" ht="20.100000000000001" customHeight="1">
      <c r="A15" s="27" t="s">
        <v>209</v>
      </c>
      <c r="B15" s="77">
        <f t="shared" si="5"/>
        <v>3746</v>
      </c>
      <c r="C15" s="77">
        <v>3254</v>
      </c>
      <c r="D15" s="77">
        <v>492</v>
      </c>
      <c r="E15" s="78">
        <f>IFERROR(B15/B$14*100,"-")</f>
        <v>47.155085599194365</v>
      </c>
      <c r="F15" s="77">
        <f t="shared" si="6"/>
        <v>3815</v>
      </c>
      <c r="G15" s="77">
        <v>3270</v>
      </c>
      <c r="H15" s="77">
        <v>545</v>
      </c>
      <c r="I15" s="78">
        <f>IFERROR(F15/F$14*100,"-")</f>
        <v>48.729084174224042</v>
      </c>
      <c r="J15" s="77">
        <f t="shared" si="7"/>
        <v>4463</v>
      </c>
      <c r="K15" s="77">
        <v>3837</v>
      </c>
      <c r="L15" s="77">
        <v>626</v>
      </c>
      <c r="M15" s="78">
        <f>IFERROR(J15/J$14*100,"-")</f>
        <v>50.918425556189398</v>
      </c>
      <c r="N15" s="77">
        <f t="shared" si="8"/>
        <v>4215</v>
      </c>
      <c r="O15" s="77">
        <v>3585</v>
      </c>
      <c r="P15" s="77">
        <v>630</v>
      </c>
      <c r="Q15" s="78">
        <f>IFERROR(N15/N$14*100,"-")</f>
        <v>51.902475064647213</v>
      </c>
      <c r="R15" s="77">
        <f t="shared" si="9"/>
        <v>4641</v>
      </c>
      <c r="S15" s="77">
        <v>3907</v>
      </c>
      <c r="T15" s="77">
        <v>734</v>
      </c>
      <c r="U15" s="78">
        <f>IFERROR(R15/R$14*100,"-")</f>
        <v>51.641259597195955</v>
      </c>
    </row>
    <row r="16" spans="1:22" ht="20.100000000000001" customHeight="1">
      <c r="A16" s="27" t="s">
        <v>210</v>
      </c>
      <c r="B16" s="77">
        <f t="shared" si="5"/>
        <v>1665</v>
      </c>
      <c r="C16" s="77">
        <v>1496</v>
      </c>
      <c r="D16" s="77">
        <v>169</v>
      </c>
      <c r="E16" s="78">
        <f>IFERROR(B16/B$14*100,"-")</f>
        <v>20.959214501510573</v>
      </c>
      <c r="F16" s="77">
        <f t="shared" si="6"/>
        <v>1528</v>
      </c>
      <c r="G16" s="77">
        <v>1386</v>
      </c>
      <c r="H16" s="77">
        <v>142</v>
      </c>
      <c r="I16" s="78">
        <f>IFERROR(F16/F$14*100,"-")</f>
        <v>19.517179716438882</v>
      </c>
      <c r="J16" s="77">
        <f t="shared" si="7"/>
        <v>1690</v>
      </c>
      <c r="K16" s="77">
        <v>1534</v>
      </c>
      <c r="L16" s="77">
        <v>156</v>
      </c>
      <c r="M16" s="78">
        <f>IFERROR(J16/J$14*100,"-")</f>
        <v>19.281232173416999</v>
      </c>
      <c r="N16" s="77">
        <f t="shared" si="8"/>
        <v>1562</v>
      </c>
      <c r="O16" s="77">
        <v>1445</v>
      </c>
      <c r="P16" s="77">
        <v>117</v>
      </c>
      <c r="Q16" s="78">
        <f>IFERROR(N16/N$14*100,"-")</f>
        <v>19.234084472355622</v>
      </c>
      <c r="R16" s="77">
        <f t="shared" si="9"/>
        <v>1802</v>
      </c>
      <c r="S16" s="77">
        <v>1654</v>
      </c>
      <c r="T16" s="77">
        <v>148</v>
      </c>
      <c r="U16" s="78">
        <f>IFERROR(R16/R$14*100,"-")</f>
        <v>20.051185045065097</v>
      </c>
    </row>
    <row r="17" spans="1:21" ht="20.100000000000001" customHeight="1">
      <c r="A17" s="27" t="s">
        <v>211</v>
      </c>
      <c r="B17" s="77">
        <f t="shared" si="5"/>
        <v>1375</v>
      </c>
      <c r="C17" s="77">
        <v>1146</v>
      </c>
      <c r="D17" s="77">
        <v>229</v>
      </c>
      <c r="E17" s="78">
        <f>IFERROR(B17/B$14*100,"-")</f>
        <v>17.308660624370596</v>
      </c>
      <c r="F17" s="77">
        <f t="shared" si="6"/>
        <v>1362</v>
      </c>
      <c r="G17" s="77">
        <v>1180</v>
      </c>
      <c r="H17" s="77">
        <v>182</v>
      </c>
      <c r="I17" s="78">
        <f>IFERROR(F17/F$14*100,"-")</f>
        <v>17.39685783624984</v>
      </c>
      <c r="J17" s="77">
        <f t="shared" si="7"/>
        <v>1697</v>
      </c>
      <c r="K17" s="77">
        <v>1446</v>
      </c>
      <c r="L17" s="77">
        <v>251</v>
      </c>
      <c r="M17" s="78">
        <f>IFERROR(J17/J$14*100,"-")</f>
        <v>19.361095265259557</v>
      </c>
      <c r="N17" s="77">
        <f t="shared" si="8"/>
        <v>1440</v>
      </c>
      <c r="O17" s="77">
        <v>1221</v>
      </c>
      <c r="P17" s="77">
        <v>219</v>
      </c>
      <c r="Q17" s="78">
        <f>IFERROR(N17/N$14*100,"-")</f>
        <v>17.73180642777983</v>
      </c>
      <c r="R17" s="77">
        <f t="shared" si="9"/>
        <v>1391</v>
      </c>
      <c r="S17" s="77">
        <v>1206</v>
      </c>
      <c r="T17" s="77">
        <v>185</v>
      </c>
      <c r="U17" s="78">
        <f>IFERROR(R17/R$14*100,"-")</f>
        <v>15.477912540336042</v>
      </c>
    </row>
    <row r="18" spans="1:21" ht="20.100000000000001" customHeight="1">
      <c r="A18" s="27" t="s">
        <v>212</v>
      </c>
      <c r="B18" s="77">
        <f t="shared" si="5"/>
        <v>618</v>
      </c>
      <c r="C18" s="77">
        <v>551</v>
      </c>
      <c r="D18" s="77">
        <v>67</v>
      </c>
      <c r="E18" s="78">
        <f>IFERROR(B18/B$14*100,"-")</f>
        <v>7.7794561933534752</v>
      </c>
      <c r="F18" s="77">
        <f t="shared" si="6"/>
        <v>652</v>
      </c>
      <c r="G18" s="77">
        <v>560</v>
      </c>
      <c r="H18" s="77">
        <v>92</v>
      </c>
      <c r="I18" s="78">
        <f>IFERROR(F18/F$14*100,"-")</f>
        <v>8.3280112402605706</v>
      </c>
      <c r="J18" s="77">
        <f t="shared" si="7"/>
        <v>555</v>
      </c>
      <c r="K18" s="77">
        <v>488</v>
      </c>
      <c r="L18" s="77">
        <v>67</v>
      </c>
      <c r="M18" s="78">
        <f>IFERROR(J18/J$14*100,"-")</f>
        <v>6.3320022818026249</v>
      </c>
      <c r="N18" s="77">
        <f t="shared" si="8"/>
        <v>590</v>
      </c>
      <c r="O18" s="77">
        <v>516</v>
      </c>
      <c r="P18" s="77">
        <v>74</v>
      </c>
      <c r="Q18" s="78">
        <f>IFERROR(N18/N$14*100,"-")</f>
        <v>7.2651151336042359</v>
      </c>
      <c r="R18" s="77">
        <f t="shared" si="9"/>
        <v>719</v>
      </c>
      <c r="S18" s="77">
        <v>637</v>
      </c>
      <c r="T18" s="77">
        <v>82</v>
      </c>
      <c r="U18" s="78">
        <f>IFERROR(R18/R$14*100,"-")</f>
        <v>8.0004450873483908</v>
      </c>
    </row>
    <row r="19" spans="1:21" ht="20.100000000000001" customHeight="1">
      <c r="A19" s="38" t="s">
        <v>213</v>
      </c>
      <c r="B19" s="80">
        <f t="shared" si="5"/>
        <v>540</v>
      </c>
      <c r="C19" s="80">
        <v>460</v>
      </c>
      <c r="D19" s="80">
        <v>80</v>
      </c>
      <c r="E19" s="81">
        <f>IFERROR(B19/B$14*100,"-")</f>
        <v>6.7975830815709974</v>
      </c>
      <c r="F19" s="80">
        <f t="shared" si="6"/>
        <v>472</v>
      </c>
      <c r="G19" s="80">
        <v>407</v>
      </c>
      <c r="H19" s="80">
        <v>65</v>
      </c>
      <c r="I19" s="81">
        <f>IFERROR(F19/F$14*100,"-")</f>
        <v>6.0288670328266702</v>
      </c>
      <c r="J19" s="80">
        <f t="shared" si="7"/>
        <v>360</v>
      </c>
      <c r="K19" s="80">
        <v>306</v>
      </c>
      <c r="L19" s="80">
        <v>54</v>
      </c>
      <c r="M19" s="81">
        <f>IFERROR(J19/J$14*100,"-")</f>
        <v>4.1072447233314318</v>
      </c>
      <c r="N19" s="80">
        <f t="shared" si="8"/>
        <v>314</v>
      </c>
      <c r="O19" s="80">
        <v>264</v>
      </c>
      <c r="P19" s="80">
        <v>50</v>
      </c>
      <c r="Q19" s="81">
        <f>IFERROR(N19/N$14*100,"-")</f>
        <v>3.8665189016131016</v>
      </c>
      <c r="R19" s="80">
        <f t="shared" si="9"/>
        <v>434</v>
      </c>
      <c r="S19" s="80">
        <v>376</v>
      </c>
      <c r="T19" s="80">
        <v>58</v>
      </c>
      <c r="U19" s="81">
        <f>IFERROR(R19/R$14*100,"-")</f>
        <v>4.8291977300545232</v>
      </c>
    </row>
    <row r="20" spans="1:21">
      <c r="A20" s="417" t="s">
        <v>215</v>
      </c>
      <c r="B20" s="417"/>
      <c r="C20" s="417"/>
      <c r="D20" s="417"/>
      <c r="E20" s="14"/>
      <c r="F20" s="14"/>
      <c r="G20" s="14"/>
      <c r="H20" s="14"/>
      <c r="I20" s="14"/>
      <c r="J20" s="14"/>
      <c r="K20" s="14"/>
      <c r="L20" s="14"/>
      <c r="M20" s="14"/>
      <c r="N20" s="14"/>
      <c r="O20" s="14"/>
      <c r="P20" s="14"/>
      <c r="Q20" s="14"/>
      <c r="R20" s="14"/>
      <c r="S20" s="14"/>
      <c r="T20" s="14"/>
      <c r="U20" s="14"/>
    </row>
    <row r="21" spans="1:21">
      <c r="A21" s="446" t="s">
        <v>631</v>
      </c>
      <c r="B21" s="465"/>
      <c r="C21" s="465"/>
      <c r="D21" s="465"/>
      <c r="E21" s="465"/>
      <c r="F21" s="465"/>
      <c r="G21" s="465"/>
      <c r="H21" s="465"/>
      <c r="I21" s="465"/>
      <c r="J21" s="465"/>
      <c r="K21" s="465"/>
      <c r="L21" s="465"/>
      <c r="M21" s="465"/>
      <c r="N21" s="465"/>
      <c r="O21" s="465"/>
      <c r="P21" s="465"/>
      <c r="Q21" s="465"/>
      <c r="R21" s="465"/>
      <c r="S21" s="465"/>
      <c r="T21" s="465"/>
      <c r="U21" s="465"/>
    </row>
    <row r="22" spans="1:21">
      <c r="D22" s="282"/>
      <c r="E22" s="282"/>
      <c r="F22" s="282"/>
      <c r="G22" s="282"/>
      <c r="H22" s="282"/>
      <c r="I22" s="282"/>
      <c r="J22" s="282"/>
      <c r="K22" s="282"/>
      <c r="L22" s="282"/>
      <c r="M22" s="282"/>
      <c r="N22" s="282"/>
      <c r="O22" s="282"/>
      <c r="P22" s="282"/>
      <c r="Q22" s="282"/>
      <c r="R22" s="282"/>
      <c r="S22" s="282"/>
      <c r="T22" s="282"/>
      <c r="U22" s="282"/>
    </row>
    <row r="23" spans="1:21">
      <c r="D23" s="282"/>
      <c r="E23" s="282"/>
      <c r="F23" s="282"/>
      <c r="G23" s="282"/>
      <c r="H23" s="282"/>
      <c r="I23" s="282"/>
      <c r="J23" s="282"/>
      <c r="K23" s="282"/>
      <c r="L23" s="282"/>
      <c r="M23" s="282"/>
      <c r="N23" s="282"/>
      <c r="O23" s="282"/>
      <c r="P23" s="282"/>
      <c r="Q23" s="282"/>
      <c r="R23" s="282"/>
      <c r="S23" s="282"/>
      <c r="T23" s="282"/>
      <c r="U23" s="282"/>
    </row>
    <row r="24" spans="1:21">
      <c r="D24" s="282"/>
      <c r="E24" s="282"/>
      <c r="F24" s="282"/>
      <c r="G24" s="282"/>
      <c r="H24" s="282"/>
      <c r="I24" s="282"/>
      <c r="J24" s="282"/>
      <c r="K24" s="282"/>
      <c r="L24" s="282"/>
      <c r="M24" s="282"/>
      <c r="N24" s="282"/>
      <c r="O24" s="282"/>
      <c r="P24" s="282"/>
      <c r="Q24" s="282"/>
      <c r="R24" s="282"/>
      <c r="S24" s="282"/>
      <c r="T24" s="282"/>
      <c r="U24" s="282"/>
    </row>
    <row r="25" spans="1:21">
      <c r="D25" s="282"/>
      <c r="E25" s="282"/>
      <c r="F25" s="282"/>
      <c r="G25" s="282"/>
      <c r="H25" s="282"/>
      <c r="I25" s="282"/>
      <c r="J25" s="282"/>
      <c r="K25" s="282"/>
      <c r="L25" s="282"/>
      <c r="M25" s="282"/>
      <c r="N25" s="282"/>
      <c r="O25" s="282"/>
      <c r="P25" s="282"/>
      <c r="Q25" s="282"/>
      <c r="R25" s="282"/>
      <c r="S25" s="282"/>
      <c r="T25" s="282"/>
      <c r="U25" s="282"/>
    </row>
    <row r="26" spans="1:21">
      <c r="D26" s="282"/>
      <c r="E26" s="282"/>
      <c r="F26" s="282"/>
      <c r="G26" s="282"/>
      <c r="H26" s="282"/>
      <c r="I26" s="282"/>
      <c r="J26" s="282"/>
      <c r="K26" s="282"/>
      <c r="L26" s="282"/>
      <c r="M26" s="282"/>
      <c r="N26" s="282"/>
      <c r="O26" s="282"/>
      <c r="P26" s="282"/>
      <c r="Q26" s="282"/>
      <c r="R26" s="282"/>
      <c r="S26" s="282"/>
      <c r="T26" s="282"/>
      <c r="U26" s="282"/>
    </row>
    <row r="27" spans="1:21">
      <c r="D27" s="282"/>
      <c r="H27" s="282"/>
      <c r="L27" s="282"/>
      <c r="P27" s="282"/>
      <c r="T27" s="282"/>
    </row>
  </sheetData>
  <mergeCells count="35">
    <mergeCell ref="A20:D20"/>
    <mergeCell ref="F11:I11"/>
    <mergeCell ref="Q3:Q4"/>
    <mergeCell ref="J3:L3"/>
    <mergeCell ref="M3:M4"/>
    <mergeCell ref="N3:P3"/>
    <mergeCell ref="A21:U21"/>
    <mergeCell ref="I12:I13"/>
    <mergeCell ref="J12:L12"/>
    <mergeCell ref="M12:M13"/>
    <mergeCell ref="N12:P12"/>
    <mergeCell ref="Q12:Q13"/>
    <mergeCell ref="R12:T12"/>
    <mergeCell ref="A11:A13"/>
    <mergeCell ref="R11:U11"/>
    <mergeCell ref="B12:D12"/>
    <mergeCell ref="E12:E13"/>
    <mergeCell ref="F12:H12"/>
    <mergeCell ref="U12:U13"/>
    <mergeCell ref="J11:M11"/>
    <mergeCell ref="N11:Q11"/>
    <mergeCell ref="B11:E11"/>
    <mergeCell ref="A1:U1"/>
    <mergeCell ref="A2:A4"/>
    <mergeCell ref="B2:E2"/>
    <mergeCell ref="F2:I2"/>
    <mergeCell ref="J2:M2"/>
    <mergeCell ref="N2:Q2"/>
    <mergeCell ref="R2:U2"/>
    <mergeCell ref="B3:D3"/>
    <mergeCell ref="E3:E4"/>
    <mergeCell ref="F3:H3"/>
    <mergeCell ref="U3:U4"/>
    <mergeCell ref="R3:T3"/>
    <mergeCell ref="I3:I4"/>
  </mergeCells>
  <phoneticPr fontId="2" type="noConversion"/>
  <hyperlinks>
    <hyperlink ref="V1" location="本篇表次!A1" display="回本篇表次"/>
  </hyperlinks>
  <printOptions horizontalCentered="1" verticalCentered="1"/>
  <pageMargins left="0.70866141732283472" right="0.70866141732283472" top="0.74803149606299213" bottom="0.74803149606299213" header="0.31496062992125984" footer="0.31496062992125984"/>
  <pageSetup paperSize="224" scale="57"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23"/>
  <sheetViews>
    <sheetView showGridLines="0" zoomScaleNormal="100" workbookViewId="0">
      <pane xSplit="1" topLeftCell="B1" activePane="topRight" state="frozen"/>
      <selection pane="topRight" activeCell="L1" sqref="L1"/>
    </sheetView>
  </sheetViews>
  <sheetFormatPr defaultColWidth="11" defaultRowHeight="16.5"/>
  <cols>
    <col min="1" max="1" width="18.125" customWidth="1"/>
    <col min="2" max="11" width="9" customWidth="1"/>
    <col min="12" max="12" width="12.625" bestFit="1" customWidth="1"/>
  </cols>
  <sheetData>
    <row r="1" spans="1:12" ht="21.95" customHeight="1">
      <c r="A1" s="373" t="s">
        <v>648</v>
      </c>
      <c r="B1" s="373"/>
      <c r="C1" s="373"/>
      <c r="D1" s="373"/>
      <c r="E1" s="373"/>
      <c r="F1" s="373"/>
      <c r="G1" s="373"/>
      <c r="H1" s="373"/>
      <c r="I1" s="373"/>
      <c r="J1" s="373"/>
      <c r="K1" s="373"/>
      <c r="L1" s="348" t="s">
        <v>644</v>
      </c>
    </row>
    <row r="2" spans="1:12" ht="20.100000000000001" customHeight="1">
      <c r="A2" s="19"/>
      <c r="B2" s="378" t="s">
        <v>49</v>
      </c>
      <c r="C2" s="378"/>
      <c r="D2" s="378" t="s">
        <v>50</v>
      </c>
      <c r="E2" s="378"/>
      <c r="F2" s="378" t="s">
        <v>51</v>
      </c>
      <c r="G2" s="378"/>
      <c r="H2" s="378" t="s">
        <v>52</v>
      </c>
      <c r="I2" s="378"/>
      <c r="J2" s="378" t="s">
        <v>53</v>
      </c>
      <c r="K2" s="378"/>
    </row>
    <row r="3" spans="1:12" ht="20.100000000000001" customHeight="1">
      <c r="A3" s="5"/>
      <c r="B3" s="10" t="s">
        <v>122</v>
      </c>
      <c r="C3" s="10" t="s">
        <v>106</v>
      </c>
      <c r="D3" s="10" t="s">
        <v>122</v>
      </c>
      <c r="E3" s="10" t="s">
        <v>106</v>
      </c>
      <c r="F3" s="10" t="s">
        <v>122</v>
      </c>
      <c r="G3" s="10" t="s">
        <v>106</v>
      </c>
      <c r="H3" s="10" t="s">
        <v>122</v>
      </c>
      <c r="I3" s="10" t="s">
        <v>106</v>
      </c>
      <c r="J3" s="10" t="s">
        <v>122</v>
      </c>
      <c r="K3" s="10" t="s">
        <v>106</v>
      </c>
    </row>
    <row r="4" spans="1:12" ht="20.100000000000001" customHeight="1">
      <c r="A4" s="59" t="s">
        <v>65</v>
      </c>
      <c r="B4" s="21">
        <f>B5+B6</f>
        <v>10261</v>
      </c>
      <c r="C4" s="116">
        <f>SUM(C7:C11)</f>
        <v>100</v>
      </c>
      <c r="D4" s="21">
        <f>D5+D6</f>
        <v>9248</v>
      </c>
      <c r="E4" s="116">
        <f>SUM(E7:E11)</f>
        <v>100</v>
      </c>
      <c r="F4" s="21">
        <f t="shared" ref="F4:I4" si="0">SUM(F7:F11)</f>
        <v>8423</v>
      </c>
      <c r="G4" s="116">
        <f t="shared" si="0"/>
        <v>100</v>
      </c>
      <c r="H4" s="21">
        <f t="shared" si="0"/>
        <v>8046</v>
      </c>
      <c r="I4" s="116">
        <f t="shared" si="0"/>
        <v>100</v>
      </c>
      <c r="J4" s="21">
        <f>SUM(J7:J11)</f>
        <v>8329</v>
      </c>
      <c r="K4" s="116">
        <f>SUM(K7:K11)</f>
        <v>100</v>
      </c>
    </row>
    <row r="5" spans="1:12">
      <c r="A5" s="60" t="s">
        <v>269</v>
      </c>
      <c r="B5" s="21">
        <v>8860</v>
      </c>
      <c r="C5" s="117">
        <f>IFERROR(B5/B$4*100,"-")</f>
        <v>86.346360003898255</v>
      </c>
      <c r="D5" s="21">
        <v>8050</v>
      </c>
      <c r="E5" s="117">
        <f>IFERROR(D5/D$4*100,"-")</f>
        <v>87.04584775086505</v>
      </c>
      <c r="F5" s="21">
        <v>7287</v>
      </c>
      <c r="G5" s="117">
        <f>IFERROR(F5/F$4*100,"-")</f>
        <v>86.513118841267953</v>
      </c>
      <c r="H5" s="21">
        <v>6972</v>
      </c>
      <c r="I5" s="117">
        <f>IFERROR(H5/H$4*100,"-")</f>
        <v>86.651752423564503</v>
      </c>
      <c r="J5" s="21">
        <v>7251</v>
      </c>
      <c r="K5" s="117">
        <f>IFERROR(J5/J$4*100,"-")</f>
        <v>87.05726978028575</v>
      </c>
    </row>
    <row r="6" spans="1:12">
      <c r="A6" s="62" t="s">
        <v>270</v>
      </c>
      <c r="B6" s="25">
        <v>1401</v>
      </c>
      <c r="C6" s="118">
        <f t="shared" ref="C6:C11" si="1">IFERROR(B6/B$4*100,"-")</f>
        <v>13.653639996101743</v>
      </c>
      <c r="D6" s="25">
        <v>1198</v>
      </c>
      <c r="E6" s="118">
        <f t="shared" ref="E6:E11" si="2">IFERROR(D6/D$4*100,"-")</f>
        <v>12.954152249134948</v>
      </c>
      <c r="F6" s="25">
        <v>1136</v>
      </c>
      <c r="G6" s="118">
        <f t="shared" ref="G6:G11" si="3">IFERROR(F6/F$4*100,"-")</f>
        <v>13.486881158732041</v>
      </c>
      <c r="H6" s="25">
        <v>1074</v>
      </c>
      <c r="I6" s="118">
        <f t="shared" ref="I6:I11" si="4">IFERROR(H6/H$4*100,"-")</f>
        <v>13.348247576435496</v>
      </c>
      <c r="J6" s="25">
        <v>1078</v>
      </c>
      <c r="K6" s="118">
        <f t="shared" ref="K6:K11" si="5">IFERROR(J6/J$4*100,"-")</f>
        <v>12.942730219714251</v>
      </c>
    </row>
    <row r="7" spans="1:12" ht="20.100000000000001" customHeight="1">
      <c r="A7" s="27" t="s">
        <v>371</v>
      </c>
      <c r="B7" s="21">
        <v>5504</v>
      </c>
      <c r="C7" s="117">
        <f t="shared" si="1"/>
        <v>53.639996101744472</v>
      </c>
      <c r="D7" s="21">
        <v>4993</v>
      </c>
      <c r="E7" s="117">
        <f t="shared" si="2"/>
        <v>53.990051903114193</v>
      </c>
      <c r="F7" s="21">
        <v>4657</v>
      </c>
      <c r="G7" s="117">
        <f t="shared" si="3"/>
        <v>55.289089398076698</v>
      </c>
      <c r="H7" s="21">
        <v>4494</v>
      </c>
      <c r="I7" s="117">
        <f t="shared" si="4"/>
        <v>55.853840417598811</v>
      </c>
      <c r="J7" s="21">
        <v>4644</v>
      </c>
      <c r="K7" s="117">
        <f t="shared" si="5"/>
        <v>55.756993636691078</v>
      </c>
    </row>
    <row r="8" spans="1:12" ht="20.100000000000001" customHeight="1">
      <c r="A8" s="27" t="s">
        <v>372</v>
      </c>
      <c r="B8" s="21">
        <v>3477</v>
      </c>
      <c r="C8" s="117">
        <f t="shared" si="1"/>
        <v>33.885586200175425</v>
      </c>
      <c r="D8" s="21">
        <v>3044</v>
      </c>
      <c r="E8" s="117">
        <f t="shared" si="2"/>
        <v>32.915224913494811</v>
      </c>
      <c r="F8" s="21">
        <v>2635</v>
      </c>
      <c r="G8" s="117">
        <f t="shared" si="3"/>
        <v>31.283390715896946</v>
      </c>
      <c r="H8" s="21">
        <v>2470</v>
      </c>
      <c r="I8" s="117">
        <f t="shared" si="4"/>
        <v>30.698483718617947</v>
      </c>
      <c r="J8" s="21">
        <v>2536</v>
      </c>
      <c r="K8" s="117">
        <f t="shared" si="5"/>
        <v>30.447832873094011</v>
      </c>
    </row>
    <row r="9" spans="1:12" ht="20.100000000000001" customHeight="1">
      <c r="A9" s="27" t="s">
        <v>373</v>
      </c>
      <c r="B9" s="21">
        <v>1107</v>
      </c>
      <c r="C9" s="117">
        <f t="shared" si="1"/>
        <v>10.788422181073971</v>
      </c>
      <c r="D9" s="21">
        <v>1090</v>
      </c>
      <c r="E9" s="117">
        <f t="shared" si="2"/>
        <v>11.786332179930795</v>
      </c>
      <c r="F9" s="21">
        <v>997</v>
      </c>
      <c r="G9" s="117">
        <f t="shared" si="3"/>
        <v>11.83663777751395</v>
      </c>
      <c r="H9" s="21">
        <v>962</v>
      </c>
      <c r="I9" s="117">
        <f t="shared" si="4"/>
        <v>11.95625155356699</v>
      </c>
      <c r="J9" s="21">
        <v>1020</v>
      </c>
      <c r="K9" s="117">
        <f t="shared" si="5"/>
        <v>12.246368111417938</v>
      </c>
    </row>
    <row r="10" spans="1:12" ht="20.100000000000001" customHeight="1">
      <c r="A10" s="27" t="s">
        <v>374</v>
      </c>
      <c r="B10" s="21">
        <v>173</v>
      </c>
      <c r="C10" s="117">
        <f t="shared" si="1"/>
        <v>1.6859955170061398</v>
      </c>
      <c r="D10" s="21">
        <v>121</v>
      </c>
      <c r="E10" s="117">
        <f t="shared" si="2"/>
        <v>1.3083910034602075</v>
      </c>
      <c r="F10" s="21">
        <v>134</v>
      </c>
      <c r="G10" s="117">
        <f t="shared" si="3"/>
        <v>1.5908821085124063</v>
      </c>
      <c r="H10" s="21">
        <v>120</v>
      </c>
      <c r="I10" s="117">
        <f t="shared" si="4"/>
        <v>1.4914243102162565</v>
      </c>
      <c r="J10" s="21">
        <v>129</v>
      </c>
      <c r="K10" s="117">
        <f t="shared" si="5"/>
        <v>1.5488053787969744</v>
      </c>
    </row>
    <row r="11" spans="1:12" ht="20.100000000000001" customHeight="1" thickBot="1">
      <c r="A11" s="40" t="s">
        <v>375</v>
      </c>
      <c r="B11" s="28" t="s">
        <v>9</v>
      </c>
      <c r="C11" s="119" t="str">
        <f t="shared" si="1"/>
        <v>-</v>
      </c>
      <c r="D11" s="28" t="s">
        <v>9</v>
      </c>
      <c r="E11" s="119" t="str">
        <f t="shared" si="2"/>
        <v>-</v>
      </c>
      <c r="F11" s="28" t="s">
        <v>9</v>
      </c>
      <c r="G11" s="119" t="str">
        <f t="shared" si="3"/>
        <v>-</v>
      </c>
      <c r="H11" s="28" t="s">
        <v>9</v>
      </c>
      <c r="I11" s="119" t="str">
        <f t="shared" si="4"/>
        <v>-</v>
      </c>
      <c r="J11" s="28" t="s">
        <v>9</v>
      </c>
      <c r="K11" s="119" t="str">
        <f t="shared" si="5"/>
        <v>-</v>
      </c>
    </row>
    <row r="12" spans="1:12" ht="20.100000000000001" customHeight="1">
      <c r="A12" s="5"/>
      <c r="B12" s="450" t="s">
        <v>54</v>
      </c>
      <c r="C12" s="450"/>
      <c r="D12" s="450" t="s">
        <v>376</v>
      </c>
      <c r="E12" s="450"/>
      <c r="F12" s="449" t="s">
        <v>56</v>
      </c>
      <c r="G12" s="453"/>
      <c r="H12" s="450" t="s">
        <v>123</v>
      </c>
      <c r="I12" s="450"/>
      <c r="J12" s="450" t="s">
        <v>635</v>
      </c>
      <c r="K12" s="450"/>
    </row>
    <row r="13" spans="1:12" ht="20.100000000000001" customHeight="1">
      <c r="A13" s="5"/>
      <c r="B13" s="10" t="s">
        <v>122</v>
      </c>
      <c r="C13" s="10" t="s">
        <v>106</v>
      </c>
      <c r="D13" s="10" t="s">
        <v>122</v>
      </c>
      <c r="E13" s="10" t="s">
        <v>106</v>
      </c>
      <c r="F13" s="10" t="s">
        <v>122</v>
      </c>
      <c r="G13" s="10" t="s">
        <v>106</v>
      </c>
      <c r="H13" s="10" t="s">
        <v>122</v>
      </c>
      <c r="I13" s="10" t="s">
        <v>106</v>
      </c>
      <c r="J13" s="10" t="s">
        <v>122</v>
      </c>
      <c r="K13" s="10" t="s">
        <v>106</v>
      </c>
    </row>
    <row r="14" spans="1:12" ht="20.100000000000001" customHeight="1">
      <c r="A14" s="59" t="s">
        <v>65</v>
      </c>
      <c r="B14" s="21">
        <f>SUM(B17:B21)</f>
        <v>7836</v>
      </c>
      <c r="C14" s="116">
        <f>SUM(C17:C21)</f>
        <v>99.999999999999986</v>
      </c>
      <c r="D14" s="21">
        <f t="shared" ref="D14:K14" si="6">SUM(D17:D21)</f>
        <v>7714</v>
      </c>
      <c r="E14" s="116">
        <f t="shared" si="6"/>
        <v>99.999999999999986</v>
      </c>
      <c r="F14" s="21">
        <f t="shared" si="6"/>
        <v>8657</v>
      </c>
      <c r="G14" s="116">
        <f t="shared" si="6"/>
        <v>99.999999999999986</v>
      </c>
      <c r="H14" s="21">
        <f t="shared" si="6"/>
        <v>8017</v>
      </c>
      <c r="I14" s="116">
        <f t="shared" si="6"/>
        <v>99.999999999999986</v>
      </c>
      <c r="J14" s="21">
        <f t="shared" si="6"/>
        <v>8877</v>
      </c>
      <c r="K14" s="116">
        <f t="shared" si="6"/>
        <v>100.00000000000001</v>
      </c>
    </row>
    <row r="15" spans="1:12">
      <c r="A15" s="60" t="s">
        <v>269</v>
      </c>
      <c r="B15" s="21">
        <v>6810</v>
      </c>
      <c r="C15" s="117">
        <f>IFERROR(B15/B$14*100,"-")</f>
        <v>86.906584992343028</v>
      </c>
      <c r="D15" s="21">
        <v>6709</v>
      </c>
      <c r="E15" s="117">
        <f>IFERROR(D15/D$14*100,"-")</f>
        <v>86.971739694062748</v>
      </c>
      <c r="F15" s="21">
        <v>7524</v>
      </c>
      <c r="G15" s="117">
        <f>IFERROR(F15/F$14*100,"-")</f>
        <v>86.912325285895804</v>
      </c>
      <c r="H15" s="21">
        <v>6949</v>
      </c>
      <c r="I15" s="117">
        <f>IFERROR(H15/H$14*100,"-")</f>
        <v>86.678308594237237</v>
      </c>
      <c r="J15" s="21">
        <v>7699</v>
      </c>
      <c r="K15" s="117">
        <f t="shared" ref="K15:K21" si="7">IFERROR(J15/J$14*100,"-")</f>
        <v>86.729751042018705</v>
      </c>
    </row>
    <row r="16" spans="1:12">
      <c r="A16" s="62" t="s">
        <v>270</v>
      </c>
      <c r="B16" s="25">
        <v>1026</v>
      </c>
      <c r="C16" s="118">
        <f t="shared" ref="C16:C21" si="8">IFERROR(B16/B$14*100,"-")</f>
        <v>13.093415007656967</v>
      </c>
      <c r="D16" s="25">
        <v>1005</v>
      </c>
      <c r="E16" s="118">
        <f t="shared" ref="E16:E21" si="9">IFERROR(D16/D$14*100,"-")</f>
        <v>13.028260305937255</v>
      </c>
      <c r="F16" s="25">
        <v>1133</v>
      </c>
      <c r="G16" s="118">
        <f t="shared" ref="G16:G21" si="10">IFERROR(F16/F$14*100,"-")</f>
        <v>13.087674714104194</v>
      </c>
      <c r="H16" s="25">
        <v>1068</v>
      </c>
      <c r="I16" s="118">
        <f t="shared" ref="I16:I21" si="11">IFERROR(H16/H$14*100,"-")</f>
        <v>13.321691405762753</v>
      </c>
      <c r="J16" s="25">
        <v>1178</v>
      </c>
      <c r="K16" s="118">
        <f t="shared" si="7"/>
        <v>13.270248957981302</v>
      </c>
    </row>
    <row r="17" spans="1:11" ht="20.100000000000001" customHeight="1">
      <c r="A17" s="27" t="s">
        <v>371</v>
      </c>
      <c r="B17" s="21">
        <v>4478</v>
      </c>
      <c r="C17" s="117">
        <f t="shared" si="8"/>
        <v>57.146503318019391</v>
      </c>
      <c r="D17" s="21">
        <v>4355</v>
      </c>
      <c r="E17" s="117">
        <f t="shared" si="9"/>
        <v>56.455794659061439</v>
      </c>
      <c r="F17" s="21">
        <v>4954</v>
      </c>
      <c r="G17" s="117">
        <f t="shared" si="10"/>
        <v>57.225366755226979</v>
      </c>
      <c r="H17" s="21">
        <v>4452</v>
      </c>
      <c r="I17" s="117">
        <f t="shared" si="11"/>
        <v>55.531994511662717</v>
      </c>
      <c r="J17" s="21">
        <v>4731</v>
      </c>
      <c r="K17" s="117">
        <f t="shared" si="7"/>
        <v>53.295032105441031</v>
      </c>
    </row>
    <row r="18" spans="1:11" ht="20.100000000000001" customHeight="1">
      <c r="A18" s="27" t="s">
        <v>372</v>
      </c>
      <c r="B18" s="21">
        <v>2321</v>
      </c>
      <c r="C18" s="117">
        <f t="shared" si="8"/>
        <v>29.619703930576826</v>
      </c>
      <c r="D18" s="21">
        <v>2306</v>
      </c>
      <c r="E18" s="117">
        <f t="shared" si="9"/>
        <v>29.89369976665802</v>
      </c>
      <c r="F18" s="21">
        <v>2512</v>
      </c>
      <c r="G18" s="117">
        <f t="shared" si="10"/>
        <v>29.016980478225712</v>
      </c>
      <c r="H18" s="21">
        <v>2413</v>
      </c>
      <c r="I18" s="117">
        <f t="shared" si="11"/>
        <v>30.0985406012224</v>
      </c>
      <c r="J18" s="21">
        <v>2901</v>
      </c>
      <c r="K18" s="117">
        <f t="shared" si="7"/>
        <v>32.679959445758705</v>
      </c>
    </row>
    <row r="19" spans="1:11" ht="20.100000000000001" customHeight="1">
      <c r="A19" s="27" t="s">
        <v>373</v>
      </c>
      <c r="B19" s="21">
        <v>869</v>
      </c>
      <c r="C19" s="117">
        <f t="shared" si="8"/>
        <v>11.089841755997957</v>
      </c>
      <c r="D19" s="21">
        <v>904</v>
      </c>
      <c r="E19" s="117">
        <f t="shared" si="9"/>
        <v>11.718952553798289</v>
      </c>
      <c r="F19" s="21">
        <v>980</v>
      </c>
      <c r="G19" s="117">
        <f t="shared" si="10"/>
        <v>11.320318817142198</v>
      </c>
      <c r="H19" s="21">
        <v>951</v>
      </c>
      <c r="I19" s="117">
        <f t="shared" si="11"/>
        <v>11.86229262816515</v>
      </c>
      <c r="J19" s="21">
        <v>1012</v>
      </c>
      <c r="K19" s="117">
        <f t="shared" si="7"/>
        <v>11.400247831474598</v>
      </c>
    </row>
    <row r="20" spans="1:11" ht="20.100000000000001" customHeight="1">
      <c r="A20" s="27" t="s">
        <v>374</v>
      </c>
      <c r="B20" s="21">
        <v>156</v>
      </c>
      <c r="C20" s="117">
        <f t="shared" si="8"/>
        <v>1.9908116385911179</v>
      </c>
      <c r="D20" s="21">
        <v>109</v>
      </c>
      <c r="E20" s="117">
        <f t="shared" si="9"/>
        <v>1.4130152968628467</v>
      </c>
      <c r="F20" s="21">
        <v>143</v>
      </c>
      <c r="G20" s="117">
        <f t="shared" si="10"/>
        <v>1.6518424396442184</v>
      </c>
      <c r="H20" s="21">
        <v>155</v>
      </c>
      <c r="I20" s="117">
        <f t="shared" si="11"/>
        <v>1.9333915429711863</v>
      </c>
      <c r="J20" s="21">
        <v>153</v>
      </c>
      <c r="K20" s="117">
        <f t="shared" si="7"/>
        <v>1.7235552551537681</v>
      </c>
    </row>
    <row r="21" spans="1:11" ht="20.100000000000001" customHeight="1">
      <c r="A21" s="38" t="s">
        <v>375</v>
      </c>
      <c r="B21" s="25">
        <v>12</v>
      </c>
      <c r="C21" s="118">
        <f t="shared" si="8"/>
        <v>0.15313935681470139</v>
      </c>
      <c r="D21" s="25">
        <v>40</v>
      </c>
      <c r="E21" s="118">
        <f t="shared" si="9"/>
        <v>0.51853772361939332</v>
      </c>
      <c r="F21" s="25">
        <v>68</v>
      </c>
      <c r="G21" s="118">
        <f t="shared" si="10"/>
        <v>0.78549150976088711</v>
      </c>
      <c r="H21" s="25">
        <v>46</v>
      </c>
      <c r="I21" s="118">
        <f t="shared" si="11"/>
        <v>0.57378071597854563</v>
      </c>
      <c r="J21" s="25">
        <v>80</v>
      </c>
      <c r="K21" s="118">
        <f t="shared" si="7"/>
        <v>0.90120536217190483</v>
      </c>
    </row>
    <row r="22" spans="1:11">
      <c r="A22" s="447" t="s">
        <v>184</v>
      </c>
      <c r="B22" s="448"/>
      <c r="C22" s="448"/>
      <c r="D22" s="59"/>
      <c r="E22" s="103"/>
      <c r="F22" s="96"/>
      <c r="G22" s="87"/>
      <c r="H22" s="96"/>
      <c r="I22" s="87"/>
      <c r="J22" s="96"/>
      <c r="K22" s="96"/>
    </row>
    <row r="23" spans="1:11" ht="31.5" customHeight="1">
      <c r="A23" s="446" t="s">
        <v>633</v>
      </c>
      <c r="B23" s="446"/>
      <c r="C23" s="446"/>
      <c r="D23" s="446"/>
      <c r="E23" s="446"/>
      <c r="F23" s="446"/>
      <c r="G23" s="446"/>
      <c r="H23" s="446"/>
      <c r="I23" s="446"/>
      <c r="J23" s="446"/>
      <c r="K23" s="446"/>
    </row>
  </sheetData>
  <mergeCells count="13">
    <mergeCell ref="A22:C22"/>
    <mergeCell ref="A23:K23"/>
    <mergeCell ref="F12:G12"/>
    <mergeCell ref="A1:K1"/>
    <mergeCell ref="B2:C2"/>
    <mergeCell ref="H2:I2"/>
    <mergeCell ref="J2:K2"/>
    <mergeCell ref="B12:C12"/>
    <mergeCell ref="D12:E12"/>
    <mergeCell ref="H12:I12"/>
    <mergeCell ref="J12:K12"/>
    <mergeCell ref="D2:E2"/>
    <mergeCell ref="F2:G2"/>
  </mergeCells>
  <phoneticPr fontId="2" type="noConversion"/>
  <hyperlinks>
    <hyperlink ref="L1" location="本篇表次!A1" display="回本篇表次"/>
  </hyperlinks>
  <printOptions horizontalCentered="1" verticalCentered="1"/>
  <pageMargins left="0.70866141732283472" right="0.70866141732283472" top="0.74803149606299213" bottom="0.74803149606299213" header="0.31496062992125984" footer="0.31496062992125984"/>
  <pageSetup paperSize="224" scale="86"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19"/>
  <sheetViews>
    <sheetView showGridLines="0" workbookViewId="0">
      <pane xSplit="1" topLeftCell="B1" activePane="topRight" state="frozen"/>
      <selection pane="topRight" activeCell="L1" sqref="L1"/>
    </sheetView>
  </sheetViews>
  <sheetFormatPr defaultColWidth="9" defaultRowHeight="16.5"/>
  <cols>
    <col min="1" max="1" width="15.875" customWidth="1"/>
    <col min="12" max="12" width="12.625" bestFit="1" customWidth="1"/>
  </cols>
  <sheetData>
    <row r="1" spans="1:12" ht="20.25">
      <c r="A1" s="373" t="s">
        <v>377</v>
      </c>
      <c r="B1" s="373"/>
      <c r="C1" s="373"/>
      <c r="D1" s="373"/>
      <c r="E1" s="373"/>
      <c r="F1" s="373"/>
      <c r="G1" s="373"/>
      <c r="H1" s="373"/>
      <c r="I1" s="373"/>
      <c r="J1" s="373"/>
      <c r="K1" s="373"/>
      <c r="L1" s="348" t="s">
        <v>644</v>
      </c>
    </row>
    <row r="2" spans="1:12" ht="18.95" customHeight="1">
      <c r="A2" s="19"/>
      <c r="B2" s="378" t="s">
        <v>49</v>
      </c>
      <c r="C2" s="378"/>
      <c r="D2" s="378" t="s">
        <v>50</v>
      </c>
      <c r="E2" s="452"/>
      <c r="F2" s="378" t="s">
        <v>51</v>
      </c>
      <c r="G2" s="452"/>
      <c r="H2" s="378" t="s">
        <v>52</v>
      </c>
      <c r="I2" s="378"/>
      <c r="J2" s="378" t="s">
        <v>53</v>
      </c>
      <c r="K2" s="378"/>
    </row>
    <row r="3" spans="1:12" ht="18.95" customHeight="1">
      <c r="A3" s="5"/>
      <c r="B3" s="10" t="s">
        <v>122</v>
      </c>
      <c r="C3" s="10" t="s">
        <v>106</v>
      </c>
      <c r="D3" s="10" t="s">
        <v>122</v>
      </c>
      <c r="E3" s="10" t="s">
        <v>106</v>
      </c>
      <c r="F3" s="10" t="s">
        <v>122</v>
      </c>
      <c r="G3" s="10" t="s">
        <v>106</v>
      </c>
      <c r="H3" s="10" t="s">
        <v>122</v>
      </c>
      <c r="I3" s="10" t="s">
        <v>106</v>
      </c>
      <c r="J3" s="10" t="s">
        <v>122</v>
      </c>
      <c r="K3" s="10" t="s">
        <v>106</v>
      </c>
    </row>
    <row r="4" spans="1:12" ht="18.95" customHeight="1">
      <c r="A4" s="27" t="s">
        <v>65</v>
      </c>
      <c r="B4" s="12">
        <f t="shared" ref="B4:K4" si="0">SUM(B5:B9)</f>
        <v>10374</v>
      </c>
      <c r="C4" s="33">
        <f t="shared" si="0"/>
        <v>100</v>
      </c>
      <c r="D4" s="12">
        <f t="shared" si="0"/>
        <v>9359</v>
      </c>
      <c r="E4" s="33">
        <f t="shared" si="0"/>
        <v>100</v>
      </c>
      <c r="F4" s="12">
        <f t="shared" si="0"/>
        <v>8568</v>
      </c>
      <c r="G4" s="33">
        <f t="shared" si="0"/>
        <v>100</v>
      </c>
      <c r="H4" s="12">
        <f t="shared" si="0"/>
        <v>8132</v>
      </c>
      <c r="I4" s="33">
        <f t="shared" si="0"/>
        <v>100</v>
      </c>
      <c r="J4" s="12">
        <f t="shared" si="0"/>
        <v>8448</v>
      </c>
      <c r="K4" s="33">
        <f t="shared" si="0"/>
        <v>99.999999999999986</v>
      </c>
    </row>
    <row r="5" spans="1:12" ht="18.95" customHeight="1">
      <c r="A5" s="27" t="s">
        <v>378</v>
      </c>
      <c r="B5" s="6">
        <v>8919</v>
      </c>
      <c r="C5" s="39">
        <f>IFERROR(B5/B$4*100,"-")</f>
        <v>85.974551764025449</v>
      </c>
      <c r="D5" s="6">
        <v>8118</v>
      </c>
      <c r="E5" s="39">
        <f>IFERROR(D5/D$4*100,"-")</f>
        <v>86.740036328667586</v>
      </c>
      <c r="F5" s="6">
        <v>7469</v>
      </c>
      <c r="G5" s="39">
        <f>IFERROR(F5/F$4*100,"-")</f>
        <v>87.173202614379079</v>
      </c>
      <c r="H5" s="6">
        <v>7117</v>
      </c>
      <c r="I5" s="39">
        <f>IFERROR(H5/H$4*100,"-")</f>
        <v>87.518445646827345</v>
      </c>
      <c r="J5" s="6">
        <v>7390</v>
      </c>
      <c r="K5" s="39">
        <f>IFERROR(J5/J$4*100,"-")</f>
        <v>87.476325757575751</v>
      </c>
    </row>
    <row r="6" spans="1:12" ht="18.95" customHeight="1">
      <c r="A6" s="27" t="s">
        <v>379</v>
      </c>
      <c r="B6" s="6">
        <v>851</v>
      </c>
      <c r="C6" s="39">
        <f t="shared" ref="C6:C9" si="1">IFERROR(B6/B$4*100,"-")</f>
        <v>8.203200308463467</v>
      </c>
      <c r="D6" s="6">
        <v>793</v>
      </c>
      <c r="E6" s="39">
        <f t="shared" ref="E6:E9" si="2">IFERROR(D6/D$4*100,"-")</f>
        <v>8.4731274708836413</v>
      </c>
      <c r="F6" s="6">
        <v>725</v>
      </c>
      <c r="G6" s="39">
        <f t="shared" ref="G6:G9" si="3">IFERROR(F6/F$4*100,"-")</f>
        <v>8.4617180205415501</v>
      </c>
      <c r="H6" s="6">
        <v>666</v>
      </c>
      <c r="I6" s="39">
        <f t="shared" ref="I6:I9" si="4">IFERROR(H6/H$4*100,"-")</f>
        <v>8.1898671913428434</v>
      </c>
      <c r="J6" s="6">
        <v>742</v>
      </c>
      <c r="K6" s="39">
        <f t="shared" ref="K6:K9" si="5">IFERROR(J6/J$4*100,"-")</f>
        <v>8.7831439393939394</v>
      </c>
    </row>
    <row r="7" spans="1:12" ht="18.95" customHeight="1">
      <c r="A7" s="27" t="s">
        <v>380</v>
      </c>
      <c r="B7" s="6">
        <v>274</v>
      </c>
      <c r="C7" s="39">
        <f t="shared" si="1"/>
        <v>2.6412184306921151</v>
      </c>
      <c r="D7" s="6">
        <v>157</v>
      </c>
      <c r="E7" s="39">
        <f t="shared" si="2"/>
        <v>1.6775296506036972</v>
      </c>
      <c r="F7" s="6">
        <v>115</v>
      </c>
      <c r="G7" s="39">
        <f t="shared" si="3"/>
        <v>1.3422035480859009</v>
      </c>
      <c r="H7" s="6">
        <v>105</v>
      </c>
      <c r="I7" s="39">
        <f t="shared" si="4"/>
        <v>1.2911952779144122</v>
      </c>
      <c r="J7" s="6">
        <v>95</v>
      </c>
      <c r="K7" s="39">
        <f t="shared" si="5"/>
        <v>1.1245265151515151</v>
      </c>
    </row>
    <row r="8" spans="1:12" ht="18.95" customHeight="1">
      <c r="A8" s="27" t="s">
        <v>381</v>
      </c>
      <c r="B8" s="6">
        <v>277</v>
      </c>
      <c r="C8" s="39">
        <f t="shared" si="1"/>
        <v>2.6701368806631964</v>
      </c>
      <c r="D8" s="6">
        <v>242</v>
      </c>
      <c r="E8" s="39">
        <f t="shared" si="2"/>
        <v>2.5857463404209851</v>
      </c>
      <c r="F8" s="6">
        <v>217</v>
      </c>
      <c r="G8" s="39">
        <f t="shared" si="3"/>
        <v>2.5326797385620914</v>
      </c>
      <c r="H8" s="6">
        <v>216</v>
      </c>
      <c r="I8" s="39">
        <f t="shared" si="4"/>
        <v>2.6561731431382194</v>
      </c>
      <c r="J8" s="6">
        <v>190</v>
      </c>
      <c r="K8" s="39">
        <f t="shared" si="5"/>
        <v>2.2490530303030303</v>
      </c>
    </row>
    <row r="9" spans="1:12" ht="18.95" customHeight="1" thickBot="1">
      <c r="A9" s="40" t="s">
        <v>382</v>
      </c>
      <c r="B9" s="29">
        <v>53</v>
      </c>
      <c r="C9" s="64">
        <f t="shared" si="1"/>
        <v>0.51089261615577408</v>
      </c>
      <c r="D9" s="29">
        <v>49</v>
      </c>
      <c r="E9" s="64">
        <f t="shared" si="2"/>
        <v>0.52356020942408377</v>
      </c>
      <c r="F9" s="29">
        <v>42</v>
      </c>
      <c r="G9" s="64">
        <f t="shared" si="3"/>
        <v>0.49019607843137253</v>
      </c>
      <c r="H9" s="29">
        <v>28</v>
      </c>
      <c r="I9" s="64">
        <f t="shared" si="4"/>
        <v>0.34431874077717661</v>
      </c>
      <c r="J9" s="29">
        <v>31</v>
      </c>
      <c r="K9" s="64">
        <f t="shared" si="5"/>
        <v>0.36695075757575757</v>
      </c>
    </row>
    <row r="10" spans="1:12" ht="18.95" customHeight="1">
      <c r="A10" s="5"/>
      <c r="B10" s="449" t="s">
        <v>54</v>
      </c>
      <c r="C10" s="453"/>
      <c r="D10" s="449" t="s">
        <v>55</v>
      </c>
      <c r="E10" s="453"/>
      <c r="F10" s="449" t="s">
        <v>56</v>
      </c>
      <c r="G10" s="453"/>
      <c r="H10" s="450" t="s">
        <v>123</v>
      </c>
      <c r="I10" s="450"/>
      <c r="J10" s="450" t="s">
        <v>635</v>
      </c>
      <c r="K10" s="450"/>
    </row>
    <row r="11" spans="1:12" ht="18.95" customHeight="1">
      <c r="A11" s="5"/>
      <c r="B11" s="10" t="s">
        <v>122</v>
      </c>
      <c r="C11" s="10" t="s">
        <v>106</v>
      </c>
      <c r="D11" s="10" t="s">
        <v>122</v>
      </c>
      <c r="E11" s="10" t="s">
        <v>106</v>
      </c>
      <c r="F11" s="10" t="s">
        <v>122</v>
      </c>
      <c r="G11" s="10" t="s">
        <v>106</v>
      </c>
      <c r="H11" s="10" t="s">
        <v>122</v>
      </c>
      <c r="I11" s="10" t="s">
        <v>106</v>
      </c>
      <c r="J11" s="10" t="s">
        <v>122</v>
      </c>
      <c r="K11" s="10" t="s">
        <v>106</v>
      </c>
    </row>
    <row r="12" spans="1:12" ht="18.95" customHeight="1">
      <c r="A12" s="27" t="s">
        <v>65</v>
      </c>
      <c r="B12" s="12">
        <f t="shared" ref="B12:G12" si="6">SUM(B13:B17)</f>
        <v>7944</v>
      </c>
      <c r="C12" s="33">
        <f t="shared" si="6"/>
        <v>100</v>
      </c>
      <c r="D12" s="12">
        <f t="shared" si="6"/>
        <v>7829</v>
      </c>
      <c r="E12" s="33">
        <f t="shared" si="6"/>
        <v>100</v>
      </c>
      <c r="F12" s="12">
        <f t="shared" si="6"/>
        <v>8765</v>
      </c>
      <c r="G12" s="33">
        <f t="shared" si="6"/>
        <v>100</v>
      </c>
      <c r="H12" s="12">
        <f t="shared" ref="H12:I12" si="7">SUM(H13:H17)</f>
        <v>8121</v>
      </c>
      <c r="I12" s="33">
        <f t="shared" si="7"/>
        <v>100.00000000000001</v>
      </c>
      <c r="J12" s="12">
        <f>SUM(J13:J17)</f>
        <v>8987</v>
      </c>
      <c r="K12" s="33">
        <f>SUM(K13:K17)</f>
        <v>100</v>
      </c>
    </row>
    <row r="13" spans="1:12" ht="18.95" customHeight="1">
      <c r="A13" s="27" t="s">
        <v>378</v>
      </c>
      <c r="B13" s="6">
        <v>6887</v>
      </c>
      <c r="C13" s="39">
        <f>IFERROR(B13/B$12*100,"-")</f>
        <v>86.694360523665665</v>
      </c>
      <c r="D13" s="6">
        <v>6757</v>
      </c>
      <c r="E13" s="39">
        <f>IFERROR(D13/D$12*100,"-")</f>
        <v>86.307318942393664</v>
      </c>
      <c r="F13" s="104">
        <v>7523</v>
      </c>
      <c r="G13" s="39">
        <f>IFERROR(F13/F$12*100,"-")</f>
        <v>85.830005704506561</v>
      </c>
      <c r="H13" s="104">
        <v>6980</v>
      </c>
      <c r="I13" s="39">
        <f>IFERROR(H13/H$12*100,"-")</f>
        <v>85.950006156877237</v>
      </c>
      <c r="J13" s="104">
        <v>7756</v>
      </c>
      <c r="K13" s="39">
        <f>IFERROR(J13/J$12*100,"-")</f>
        <v>86.30243685323245</v>
      </c>
    </row>
    <row r="14" spans="1:12" ht="18.95" customHeight="1">
      <c r="A14" s="27" t="s">
        <v>379</v>
      </c>
      <c r="B14" s="6">
        <v>691</v>
      </c>
      <c r="C14" s="39">
        <f t="shared" ref="C14:C17" si="8">IFERROR(B14/B$12*100,"-")</f>
        <v>8.6983887210473316</v>
      </c>
      <c r="D14" s="6">
        <v>661</v>
      </c>
      <c r="E14" s="39">
        <f t="shared" ref="E14:E17" si="9">IFERROR(D14/D$12*100,"-")</f>
        <v>8.4429684506322644</v>
      </c>
      <c r="F14" s="104">
        <v>790</v>
      </c>
      <c r="G14" s="39">
        <f t="shared" ref="G14:G17" si="10">IFERROR(F14/F$12*100,"-")</f>
        <v>9.0131203650884206</v>
      </c>
      <c r="H14" s="104">
        <v>726</v>
      </c>
      <c r="I14" s="39">
        <f t="shared" ref="I14:I17" si="11">IFERROR(H14/H$12*100,"-")</f>
        <v>8.9397857406723311</v>
      </c>
      <c r="J14" s="104">
        <v>759</v>
      </c>
      <c r="K14" s="39">
        <f t="shared" ref="K14:K17" si="12">IFERROR(J14/J$12*100,"-")</f>
        <v>8.4455324357405139</v>
      </c>
    </row>
    <row r="15" spans="1:12" ht="18.95" customHeight="1">
      <c r="A15" s="27" t="s">
        <v>380</v>
      </c>
      <c r="B15" s="6">
        <v>149</v>
      </c>
      <c r="C15" s="39">
        <f t="shared" si="8"/>
        <v>1.875629405840886</v>
      </c>
      <c r="D15" s="6">
        <v>220</v>
      </c>
      <c r="E15" s="39">
        <f t="shared" si="9"/>
        <v>2.8100651424192105</v>
      </c>
      <c r="F15" s="104">
        <v>239</v>
      </c>
      <c r="G15" s="39">
        <f t="shared" si="10"/>
        <v>2.7267541357672562</v>
      </c>
      <c r="H15" s="104">
        <v>233</v>
      </c>
      <c r="I15" s="39">
        <f t="shared" si="11"/>
        <v>2.8691047900504865</v>
      </c>
      <c r="J15" s="104">
        <v>265</v>
      </c>
      <c r="K15" s="39">
        <f t="shared" si="12"/>
        <v>2.9487036830978077</v>
      </c>
    </row>
    <row r="16" spans="1:12" ht="18.95" customHeight="1">
      <c r="A16" s="27" t="s">
        <v>381</v>
      </c>
      <c r="B16" s="6">
        <v>190</v>
      </c>
      <c r="C16" s="39">
        <f t="shared" si="8"/>
        <v>2.391742195367573</v>
      </c>
      <c r="D16" s="6">
        <v>163</v>
      </c>
      <c r="E16" s="39">
        <f t="shared" si="9"/>
        <v>2.0820028100651427</v>
      </c>
      <c r="F16" s="104">
        <v>180</v>
      </c>
      <c r="G16" s="39">
        <f t="shared" si="10"/>
        <v>2.0536223616657159</v>
      </c>
      <c r="H16" s="104">
        <v>168</v>
      </c>
      <c r="I16" s="39">
        <f t="shared" si="11"/>
        <v>2.0687107499076469</v>
      </c>
      <c r="J16" s="104">
        <v>190</v>
      </c>
      <c r="K16" s="39">
        <f t="shared" si="12"/>
        <v>2.1141649048625792</v>
      </c>
    </row>
    <row r="17" spans="1:11" ht="18.95" customHeight="1">
      <c r="A17" s="38" t="s">
        <v>382</v>
      </c>
      <c r="B17" s="8">
        <v>27</v>
      </c>
      <c r="C17" s="52">
        <f t="shared" si="8"/>
        <v>0.33987915407854985</v>
      </c>
      <c r="D17" s="8">
        <v>28</v>
      </c>
      <c r="E17" s="52">
        <f t="shared" si="9"/>
        <v>0.35764465448971772</v>
      </c>
      <c r="F17" s="229">
        <v>33</v>
      </c>
      <c r="G17" s="52">
        <f t="shared" si="10"/>
        <v>0.37649743297204791</v>
      </c>
      <c r="H17" s="229">
        <v>14</v>
      </c>
      <c r="I17" s="52">
        <f t="shared" si="11"/>
        <v>0.17239256249230389</v>
      </c>
      <c r="J17" s="229">
        <v>17</v>
      </c>
      <c r="K17" s="52">
        <f t="shared" si="12"/>
        <v>0.18916212306665181</v>
      </c>
    </row>
    <row r="18" spans="1:11">
      <c r="A18" s="120" t="s">
        <v>184</v>
      </c>
      <c r="B18" s="14"/>
      <c r="C18" s="14"/>
      <c r="D18" s="14"/>
      <c r="E18" s="14"/>
      <c r="F18" s="14"/>
      <c r="G18" s="14"/>
      <c r="H18" s="14"/>
      <c r="I18" s="14"/>
      <c r="J18" s="41"/>
      <c r="K18" s="41"/>
    </row>
    <row r="19" spans="1:11">
      <c r="A19" s="468" t="s">
        <v>634</v>
      </c>
      <c r="B19" s="469"/>
      <c r="C19" s="469"/>
      <c r="D19" s="469"/>
      <c r="E19" s="469"/>
      <c r="F19" s="469"/>
      <c r="G19" s="469"/>
      <c r="H19" s="469"/>
      <c r="I19" s="469"/>
      <c r="J19" s="469"/>
      <c r="K19" s="469"/>
    </row>
  </sheetData>
  <mergeCells count="12">
    <mergeCell ref="A19:K19"/>
    <mergeCell ref="D2:E2"/>
    <mergeCell ref="B10:C10"/>
    <mergeCell ref="D10:E10"/>
    <mergeCell ref="F10:G10"/>
    <mergeCell ref="F2:G2"/>
    <mergeCell ref="A1:K1"/>
    <mergeCell ref="B2:C2"/>
    <mergeCell ref="H2:I2"/>
    <mergeCell ref="J2:K2"/>
    <mergeCell ref="H10:I10"/>
    <mergeCell ref="J10:K10"/>
  </mergeCells>
  <phoneticPr fontId="2" type="noConversion"/>
  <hyperlinks>
    <hyperlink ref="L1" location="本篇表次!A1" display="回本篇表次"/>
  </hyperlinks>
  <printOptions horizontalCentered="1" verticalCentered="1"/>
  <pageMargins left="0.70866141732283472" right="0.70866141732283472" top="0.74803149606299213" bottom="0.74803149606299213" header="0.31496062992125984" footer="0.31496062992125984"/>
  <pageSetup paperSize="224" scale="92"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23"/>
  <sheetViews>
    <sheetView showGridLines="0" workbookViewId="0">
      <pane xSplit="1" topLeftCell="B1" activePane="topRight" state="frozen"/>
      <selection pane="topRight" activeCell="L1" sqref="L1"/>
    </sheetView>
  </sheetViews>
  <sheetFormatPr defaultColWidth="9" defaultRowHeight="16.5"/>
  <cols>
    <col min="1" max="1" width="15.875" customWidth="1"/>
    <col min="12" max="12" width="12.625" bestFit="1" customWidth="1"/>
  </cols>
  <sheetData>
    <row r="1" spans="1:12" ht="21.95" customHeight="1">
      <c r="A1" s="373" t="s">
        <v>649</v>
      </c>
      <c r="B1" s="373"/>
      <c r="C1" s="373"/>
      <c r="D1" s="373"/>
      <c r="E1" s="373"/>
      <c r="F1" s="373"/>
      <c r="G1" s="373"/>
      <c r="H1" s="373"/>
      <c r="I1" s="373"/>
      <c r="J1" s="373"/>
      <c r="K1" s="373"/>
      <c r="L1" s="348" t="s">
        <v>644</v>
      </c>
    </row>
    <row r="2" spans="1:12" ht="18.95" customHeight="1">
      <c r="A2" s="19"/>
      <c r="B2" s="378" t="s">
        <v>49</v>
      </c>
      <c r="C2" s="378"/>
      <c r="D2" s="378" t="s">
        <v>50</v>
      </c>
      <c r="E2" s="452"/>
      <c r="F2" s="378" t="s">
        <v>51</v>
      </c>
      <c r="G2" s="378"/>
      <c r="H2" s="378" t="s">
        <v>52</v>
      </c>
      <c r="I2" s="378"/>
      <c r="J2" s="378" t="s">
        <v>53</v>
      </c>
      <c r="K2" s="378"/>
    </row>
    <row r="3" spans="1:12" ht="18.95" customHeight="1">
      <c r="A3" s="7"/>
      <c r="B3" s="10" t="s">
        <v>122</v>
      </c>
      <c r="C3" s="10" t="s">
        <v>106</v>
      </c>
      <c r="D3" s="10" t="s">
        <v>122</v>
      </c>
      <c r="E3" s="10" t="s">
        <v>106</v>
      </c>
      <c r="F3" s="10" t="s">
        <v>122</v>
      </c>
      <c r="G3" s="10" t="s">
        <v>106</v>
      </c>
      <c r="H3" s="10" t="s">
        <v>122</v>
      </c>
      <c r="I3" s="10" t="s">
        <v>106</v>
      </c>
      <c r="J3" s="10" t="s">
        <v>122</v>
      </c>
      <c r="K3" s="10" t="s">
        <v>106</v>
      </c>
    </row>
    <row r="4" spans="1:12" ht="18.95" customHeight="1">
      <c r="A4" s="37" t="s">
        <v>65</v>
      </c>
      <c r="B4" s="12">
        <f t="shared" ref="B4:K4" si="0">SUM(B5:B11)</f>
        <v>10374</v>
      </c>
      <c r="C4" s="33">
        <f t="shared" si="0"/>
        <v>100</v>
      </c>
      <c r="D4" s="12">
        <f t="shared" si="0"/>
        <v>9359</v>
      </c>
      <c r="E4" s="33">
        <f t="shared" si="0"/>
        <v>99.999999999999986</v>
      </c>
      <c r="F4" s="12">
        <f t="shared" si="0"/>
        <v>8568</v>
      </c>
      <c r="G4" s="33">
        <f t="shared" si="0"/>
        <v>100</v>
      </c>
      <c r="H4" s="12">
        <f t="shared" si="0"/>
        <v>8132</v>
      </c>
      <c r="I4" s="33">
        <f t="shared" si="0"/>
        <v>100</v>
      </c>
      <c r="J4" s="12">
        <f t="shared" si="0"/>
        <v>8448</v>
      </c>
      <c r="K4" s="33">
        <f t="shared" si="0"/>
        <v>100</v>
      </c>
    </row>
    <row r="5" spans="1:12" ht="18.95" customHeight="1">
      <c r="A5" s="27" t="s">
        <v>144</v>
      </c>
      <c r="B5" s="6">
        <v>3984</v>
      </c>
      <c r="C5" s="39">
        <f>IFERROR(B5/B$4*100,"-")</f>
        <v>38.4037015615963</v>
      </c>
      <c r="D5" s="6">
        <v>3625</v>
      </c>
      <c r="E5" s="39">
        <f>IFERROR(D5/D$4*100,"-")</f>
        <v>38.732770595149049</v>
      </c>
      <c r="F5" s="6">
        <v>3386</v>
      </c>
      <c r="G5" s="39">
        <f>IFERROR(F5/F$4*100,"-")</f>
        <v>39.519140989729223</v>
      </c>
      <c r="H5" s="6">
        <v>3191</v>
      </c>
      <c r="I5" s="39">
        <f>IFERROR(H5/H$4*100,"-")</f>
        <v>39.240039350713232</v>
      </c>
      <c r="J5" s="6">
        <v>3547</v>
      </c>
      <c r="K5" s="39">
        <f>IFERROR(J5/J$4*100,"-")</f>
        <v>41.986268939393938</v>
      </c>
    </row>
    <row r="6" spans="1:12" ht="18.95" customHeight="1">
      <c r="A6" s="27" t="s">
        <v>145</v>
      </c>
      <c r="B6" s="6">
        <v>4182</v>
      </c>
      <c r="C6" s="39">
        <f t="shared" ref="C6:C11" si="1">IFERROR(B6/B$4*100,"-")</f>
        <v>40.312319259687676</v>
      </c>
      <c r="D6" s="6">
        <v>3665</v>
      </c>
      <c r="E6" s="39">
        <f t="shared" ref="E6:E11" si="2">IFERROR(D6/D$4*100,"-")</f>
        <v>39.160166684474838</v>
      </c>
      <c r="F6" s="6">
        <v>3279</v>
      </c>
      <c r="G6" s="39">
        <f t="shared" ref="G6:G11" si="3">IFERROR(F6/F$4*100,"-")</f>
        <v>38.270308123249293</v>
      </c>
      <c r="H6" s="6">
        <v>3150</v>
      </c>
      <c r="I6" s="39">
        <f t="shared" ref="I6:I11" si="4">IFERROR(H6/H$4*100,"-")</f>
        <v>38.735858337432369</v>
      </c>
      <c r="J6" s="6">
        <v>3072</v>
      </c>
      <c r="K6" s="39">
        <f t="shared" ref="K6:K11" si="5">IFERROR(J6/J$4*100,"-")</f>
        <v>36.363636363636367</v>
      </c>
    </row>
    <row r="7" spans="1:12" ht="18.95" customHeight="1">
      <c r="A7" s="27" t="s">
        <v>147</v>
      </c>
      <c r="B7" s="6">
        <v>567</v>
      </c>
      <c r="C7" s="39">
        <f>IFERROR(B7/B$4*100,"-")</f>
        <v>5.4655870445344128</v>
      </c>
      <c r="D7" s="6">
        <v>547</v>
      </c>
      <c r="E7" s="39">
        <f>IFERROR(D7/D$4*100,"-")</f>
        <v>5.844641521530078</v>
      </c>
      <c r="F7" s="6">
        <v>485</v>
      </c>
      <c r="G7" s="39">
        <f>IFERROR(F7/F$4*100,"-")</f>
        <v>5.6605975723622786</v>
      </c>
      <c r="H7" s="6">
        <v>459</v>
      </c>
      <c r="I7" s="39">
        <f>IFERROR(H7/H$4*100,"-")</f>
        <v>5.6443679291687161</v>
      </c>
      <c r="J7" s="6">
        <v>458</v>
      </c>
      <c r="K7" s="39">
        <f>IFERROR(J7/J$4*100,"-")</f>
        <v>5.4214015151515156</v>
      </c>
    </row>
    <row r="8" spans="1:12" ht="18.95" customHeight="1">
      <c r="A8" s="27" t="s">
        <v>146</v>
      </c>
      <c r="B8" s="6">
        <v>715</v>
      </c>
      <c r="C8" s="39">
        <f>IFERROR(B8/B$4*100,"-")</f>
        <v>6.8922305764411025</v>
      </c>
      <c r="D8" s="6">
        <v>633</v>
      </c>
      <c r="E8" s="39">
        <f>IFERROR(D8/D$4*100,"-")</f>
        <v>6.7635431135805115</v>
      </c>
      <c r="F8" s="6">
        <v>537</v>
      </c>
      <c r="G8" s="39">
        <f>IFERROR(F8/F$4*100,"-")</f>
        <v>6.2675070028011204</v>
      </c>
      <c r="H8" s="6">
        <v>542</v>
      </c>
      <c r="I8" s="39">
        <f>IFERROR(H8/H$4*100,"-")</f>
        <v>6.6650270536153471</v>
      </c>
      <c r="J8" s="6">
        <v>552</v>
      </c>
      <c r="K8" s="39">
        <f>IFERROR(J8/J$4*100,"-")</f>
        <v>6.5340909090909092</v>
      </c>
    </row>
    <row r="9" spans="1:12" ht="18.95" customHeight="1">
      <c r="A9" s="27" t="s">
        <v>148</v>
      </c>
      <c r="B9" s="6">
        <v>262</v>
      </c>
      <c r="C9" s="39">
        <f t="shared" si="1"/>
        <v>2.5255446308077887</v>
      </c>
      <c r="D9" s="6">
        <v>236</v>
      </c>
      <c r="E9" s="39">
        <f t="shared" si="2"/>
        <v>2.5216369270221177</v>
      </c>
      <c r="F9" s="6">
        <v>208</v>
      </c>
      <c r="G9" s="39">
        <f t="shared" si="3"/>
        <v>2.4276377217553691</v>
      </c>
      <c r="H9" s="6">
        <v>173</v>
      </c>
      <c r="I9" s="39">
        <f t="shared" si="4"/>
        <v>2.1273979340875551</v>
      </c>
      <c r="J9" s="6">
        <v>178</v>
      </c>
      <c r="K9" s="39">
        <f t="shared" si="5"/>
        <v>2.1070075757575757</v>
      </c>
    </row>
    <row r="10" spans="1:12" ht="18.95" customHeight="1">
      <c r="A10" s="27" t="s">
        <v>149</v>
      </c>
      <c r="B10" s="6">
        <v>79</v>
      </c>
      <c r="C10" s="39">
        <f t="shared" si="1"/>
        <v>0.76151918257181417</v>
      </c>
      <c r="D10" s="6">
        <v>72</v>
      </c>
      <c r="E10" s="39">
        <f t="shared" si="2"/>
        <v>0.76931296078640876</v>
      </c>
      <c r="F10" s="6">
        <v>86</v>
      </c>
      <c r="G10" s="39">
        <f t="shared" si="3"/>
        <v>1.003734827264239</v>
      </c>
      <c r="H10" s="6">
        <v>74</v>
      </c>
      <c r="I10" s="39">
        <f t="shared" si="4"/>
        <v>0.90998524348253806</v>
      </c>
      <c r="J10" s="6">
        <v>53</v>
      </c>
      <c r="K10" s="39">
        <f t="shared" si="5"/>
        <v>0.6273674242424242</v>
      </c>
    </row>
    <row r="11" spans="1:12" ht="18.95" customHeight="1" thickBot="1">
      <c r="A11" s="40" t="s">
        <v>44</v>
      </c>
      <c r="B11" s="29">
        <v>585</v>
      </c>
      <c r="C11" s="64">
        <f t="shared" si="1"/>
        <v>5.6390977443609023</v>
      </c>
      <c r="D11" s="29">
        <v>581</v>
      </c>
      <c r="E11" s="64">
        <f t="shared" si="2"/>
        <v>6.2079281974569929</v>
      </c>
      <c r="F11" s="29">
        <v>587</v>
      </c>
      <c r="G11" s="64">
        <f t="shared" si="3"/>
        <v>6.8510737628384692</v>
      </c>
      <c r="H11" s="29">
        <v>543</v>
      </c>
      <c r="I11" s="64">
        <f t="shared" si="4"/>
        <v>6.6773241515002457</v>
      </c>
      <c r="J11" s="29">
        <v>588</v>
      </c>
      <c r="K11" s="64">
        <f t="shared" si="5"/>
        <v>6.9602272727272725</v>
      </c>
    </row>
    <row r="12" spans="1:12" ht="18.95" customHeight="1">
      <c r="A12" s="5"/>
      <c r="B12" s="450" t="s">
        <v>54</v>
      </c>
      <c r="C12" s="451"/>
      <c r="D12" s="450" t="s">
        <v>55</v>
      </c>
      <c r="E12" s="451"/>
      <c r="F12" s="450" t="s">
        <v>56</v>
      </c>
      <c r="G12" s="451"/>
      <c r="H12" s="450" t="s">
        <v>123</v>
      </c>
      <c r="I12" s="450"/>
      <c r="J12" s="450" t="s">
        <v>119</v>
      </c>
      <c r="K12" s="451"/>
    </row>
    <row r="13" spans="1:12" ht="18.95" customHeight="1">
      <c r="A13" s="7"/>
      <c r="B13" s="10" t="s">
        <v>122</v>
      </c>
      <c r="C13" s="10" t="s">
        <v>106</v>
      </c>
      <c r="D13" s="10" t="s">
        <v>122</v>
      </c>
      <c r="E13" s="10" t="s">
        <v>106</v>
      </c>
      <c r="F13" s="10" t="s">
        <v>122</v>
      </c>
      <c r="G13" s="10" t="s">
        <v>106</v>
      </c>
      <c r="H13" s="10" t="s">
        <v>122</v>
      </c>
      <c r="I13" s="10" t="s">
        <v>106</v>
      </c>
      <c r="J13" s="10" t="s">
        <v>122</v>
      </c>
      <c r="K13" s="10" t="s">
        <v>106</v>
      </c>
    </row>
    <row r="14" spans="1:12" ht="18.95" customHeight="1">
      <c r="A14" s="37" t="s">
        <v>65</v>
      </c>
      <c r="B14" s="12">
        <f t="shared" ref="B14:I14" si="6">SUM(B15:B21)</f>
        <v>7944</v>
      </c>
      <c r="C14" s="33">
        <f t="shared" si="6"/>
        <v>100</v>
      </c>
      <c r="D14" s="12">
        <f t="shared" si="6"/>
        <v>7829</v>
      </c>
      <c r="E14" s="33">
        <f t="shared" si="6"/>
        <v>99.999999999999986</v>
      </c>
      <c r="F14" s="12">
        <f t="shared" si="6"/>
        <v>8765</v>
      </c>
      <c r="G14" s="33">
        <f t="shared" si="6"/>
        <v>100.00000000000001</v>
      </c>
      <c r="H14" s="12">
        <f t="shared" si="6"/>
        <v>8121</v>
      </c>
      <c r="I14" s="33">
        <f t="shared" si="6"/>
        <v>100</v>
      </c>
      <c r="J14" s="12">
        <f>SUM(J15:J21)</f>
        <v>8987</v>
      </c>
      <c r="K14" s="33">
        <f>SUM(K15:K21)</f>
        <v>100</v>
      </c>
    </row>
    <row r="15" spans="1:12" ht="18.95" customHeight="1">
      <c r="A15" s="27" t="s">
        <v>144</v>
      </c>
      <c r="B15" s="6">
        <v>3282</v>
      </c>
      <c r="C15" s="39">
        <f>IFERROR(B15/B$14*100,"-")</f>
        <v>41.314199395770387</v>
      </c>
      <c r="D15" s="6">
        <v>3136</v>
      </c>
      <c r="E15" s="39">
        <f>IFERROR(D15/D$14*100,"-")</f>
        <v>40.056201302848379</v>
      </c>
      <c r="F15" s="104">
        <v>3618</v>
      </c>
      <c r="G15" s="39">
        <f>IFERROR(F15/F$14*100,"-")</f>
        <v>41.277809469480893</v>
      </c>
      <c r="H15" s="104">
        <v>3249</v>
      </c>
      <c r="I15" s="39">
        <f>IFERROR(H15/H$14*100,"-")</f>
        <v>40.007388252678247</v>
      </c>
      <c r="J15" s="104">
        <v>3588</v>
      </c>
      <c r="K15" s="39">
        <f>IFERROR(J15/J$14*100,"-")</f>
        <v>39.924335150773338</v>
      </c>
    </row>
    <row r="16" spans="1:12" ht="18.95" customHeight="1">
      <c r="A16" s="27" t="s">
        <v>145</v>
      </c>
      <c r="B16" s="6">
        <v>2863</v>
      </c>
      <c r="C16" s="39">
        <f t="shared" ref="C16:C21" si="7">IFERROR(B16/B$14*100,"-")</f>
        <v>36.039778449144002</v>
      </c>
      <c r="D16" s="6">
        <v>2945</v>
      </c>
      <c r="E16" s="39">
        <f t="shared" ref="E16:E21" si="8">IFERROR(D16/D$14*100,"-")</f>
        <v>37.616553838293527</v>
      </c>
      <c r="F16" s="104">
        <v>3198</v>
      </c>
      <c r="G16" s="39">
        <f t="shared" ref="G16:G21" si="9">IFERROR(F16/F$14*100,"-")</f>
        <v>36.486023958927554</v>
      </c>
      <c r="H16" s="104">
        <v>3097</v>
      </c>
      <c r="I16" s="39">
        <f t="shared" ref="I16:I21" si="10">IFERROR(H16/H$14*100,"-")</f>
        <v>38.135697574190367</v>
      </c>
      <c r="J16" s="104">
        <v>3406</v>
      </c>
      <c r="K16" s="39">
        <f t="shared" ref="K16:K21" si="11">IFERROR(J16/J$14*100,"-")</f>
        <v>37.899187715589186</v>
      </c>
    </row>
    <row r="17" spans="1:11" ht="18.95" customHeight="1">
      <c r="A17" s="27" t="s">
        <v>147</v>
      </c>
      <c r="B17" s="6">
        <v>521</v>
      </c>
      <c r="C17" s="39">
        <f t="shared" si="7"/>
        <v>6.5584088620342404</v>
      </c>
      <c r="D17" s="6">
        <v>478</v>
      </c>
      <c r="E17" s="39">
        <f t="shared" si="8"/>
        <v>6.1055051730744667</v>
      </c>
      <c r="F17" s="104">
        <v>543</v>
      </c>
      <c r="G17" s="39">
        <f t="shared" si="9"/>
        <v>6.1950941243582429</v>
      </c>
      <c r="H17" s="104">
        <v>505</v>
      </c>
      <c r="I17" s="39">
        <f t="shared" si="10"/>
        <v>6.218446004186676</v>
      </c>
      <c r="J17" s="104">
        <v>527</v>
      </c>
      <c r="K17" s="39">
        <f t="shared" si="11"/>
        <v>5.8640258150662063</v>
      </c>
    </row>
    <row r="18" spans="1:11" ht="18.95" customHeight="1">
      <c r="A18" s="27" t="s">
        <v>146</v>
      </c>
      <c r="B18" s="6">
        <v>515</v>
      </c>
      <c r="C18" s="39">
        <f t="shared" si="7"/>
        <v>6.4828801611278948</v>
      </c>
      <c r="D18" s="6">
        <v>457</v>
      </c>
      <c r="E18" s="39">
        <f t="shared" si="8"/>
        <v>5.8372716822071782</v>
      </c>
      <c r="F18" s="104">
        <v>586</v>
      </c>
      <c r="G18" s="39">
        <f t="shared" si="9"/>
        <v>6.6856816885339416</v>
      </c>
      <c r="H18" s="104">
        <v>452</v>
      </c>
      <c r="I18" s="39">
        <f t="shared" si="10"/>
        <v>5.5658170176086683</v>
      </c>
      <c r="J18" s="104">
        <v>519</v>
      </c>
      <c r="K18" s="39">
        <f t="shared" si="11"/>
        <v>5.7750083453877821</v>
      </c>
    </row>
    <row r="19" spans="1:11" ht="18.95" customHeight="1">
      <c r="A19" s="27" t="s">
        <v>148</v>
      </c>
      <c r="B19" s="6">
        <v>175</v>
      </c>
      <c r="C19" s="39">
        <f t="shared" si="7"/>
        <v>2.202920443101712</v>
      </c>
      <c r="D19" s="6">
        <v>158</v>
      </c>
      <c r="E19" s="39">
        <f t="shared" si="8"/>
        <v>2.0181376931919783</v>
      </c>
      <c r="F19" s="104">
        <v>131</v>
      </c>
      <c r="G19" s="39">
        <f t="shared" si="9"/>
        <v>1.4945807187678266</v>
      </c>
      <c r="H19" s="104">
        <v>146</v>
      </c>
      <c r="I19" s="39">
        <f t="shared" si="10"/>
        <v>1.7978081517054549</v>
      </c>
      <c r="J19" s="104">
        <v>211</v>
      </c>
      <c r="K19" s="39">
        <f t="shared" si="11"/>
        <v>2.3478357627684434</v>
      </c>
    </row>
    <row r="20" spans="1:11" ht="18.95" customHeight="1">
      <c r="A20" s="27" t="s">
        <v>149</v>
      </c>
      <c r="B20" s="6">
        <v>35</v>
      </c>
      <c r="C20" s="39">
        <f t="shared" si="7"/>
        <v>0.44058408862034243</v>
      </c>
      <c r="D20" s="6">
        <v>69</v>
      </c>
      <c r="E20" s="39">
        <f t="shared" si="8"/>
        <v>0.88133861284966153</v>
      </c>
      <c r="F20" s="104">
        <v>68</v>
      </c>
      <c r="G20" s="39">
        <f t="shared" si="9"/>
        <v>0.77581289218482608</v>
      </c>
      <c r="H20" s="104">
        <v>73</v>
      </c>
      <c r="I20" s="39">
        <f t="shared" si="10"/>
        <v>0.89890407585272747</v>
      </c>
      <c r="J20" s="104">
        <v>79</v>
      </c>
      <c r="K20" s="39">
        <f t="shared" si="11"/>
        <v>0.87904751307444096</v>
      </c>
    </row>
    <row r="21" spans="1:11" ht="18.95" customHeight="1">
      <c r="A21" s="38" t="s">
        <v>44</v>
      </c>
      <c r="B21" s="8">
        <v>553</v>
      </c>
      <c r="C21" s="52">
        <f t="shared" si="7"/>
        <v>6.9612286002014097</v>
      </c>
      <c r="D21" s="8">
        <v>586</v>
      </c>
      <c r="E21" s="52">
        <f t="shared" si="8"/>
        <v>7.4849916975348068</v>
      </c>
      <c r="F21" s="229">
        <v>621</v>
      </c>
      <c r="G21" s="52">
        <f t="shared" si="9"/>
        <v>7.0849971477467202</v>
      </c>
      <c r="H21" s="229">
        <v>599</v>
      </c>
      <c r="I21" s="52">
        <f t="shared" si="10"/>
        <v>7.3759389237778601</v>
      </c>
      <c r="J21" s="229">
        <v>657</v>
      </c>
      <c r="K21" s="52">
        <f t="shared" si="11"/>
        <v>7.3105596973406035</v>
      </c>
    </row>
    <row r="22" spans="1:11">
      <c r="A22" s="120" t="s">
        <v>184</v>
      </c>
      <c r="B22" s="14"/>
      <c r="C22" s="14"/>
      <c r="D22" s="14"/>
      <c r="E22" s="14"/>
      <c r="F22" s="14"/>
      <c r="G22" s="14"/>
      <c r="H22" s="14"/>
      <c r="I22" s="14"/>
      <c r="J22" s="41"/>
      <c r="K22" s="41"/>
    </row>
    <row r="23" spans="1:11">
      <c r="A23" s="446" t="s">
        <v>631</v>
      </c>
      <c r="B23" s="465"/>
      <c r="C23" s="465"/>
      <c r="D23" s="465"/>
      <c r="E23" s="465"/>
      <c r="F23" s="465"/>
      <c r="G23" s="465"/>
      <c r="H23" s="465"/>
      <c r="I23" s="465"/>
      <c r="J23" s="465"/>
      <c r="K23" s="465"/>
    </row>
  </sheetData>
  <mergeCells count="12">
    <mergeCell ref="A23:K23"/>
    <mergeCell ref="A1:K1"/>
    <mergeCell ref="B2:C2"/>
    <mergeCell ref="D2:E2"/>
    <mergeCell ref="F2:G2"/>
    <mergeCell ref="H2:I2"/>
    <mergeCell ref="J2:K2"/>
    <mergeCell ref="B12:C12"/>
    <mergeCell ref="D12:E12"/>
    <mergeCell ref="F12:G12"/>
    <mergeCell ref="H12:I12"/>
    <mergeCell ref="J12:K12"/>
  </mergeCells>
  <phoneticPr fontId="2" type="noConversion"/>
  <hyperlinks>
    <hyperlink ref="L1" location="本篇表次!A1" display="回本篇表次"/>
  </hyperlinks>
  <printOptions horizontalCentered="1" verticalCentered="1"/>
  <pageMargins left="0.70866141732283472" right="0.70866141732283472" top="0.74803149606299213" bottom="0.74803149606299213" header="0.31496062992125984" footer="0.31496062992125984"/>
  <pageSetup paperSize="224" scale="9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34"/>
  <sheetViews>
    <sheetView showGridLines="0" zoomScale="90" zoomScaleNormal="90" workbookViewId="0">
      <pane xSplit="1" topLeftCell="D1" activePane="topRight" state="frozen"/>
      <selection pane="topRight" activeCell="X1" sqref="X1"/>
    </sheetView>
  </sheetViews>
  <sheetFormatPr defaultColWidth="8.5" defaultRowHeight="16.5"/>
  <cols>
    <col min="1" max="1" width="22.375" customWidth="1"/>
    <col min="2" max="3" width="0" hidden="1" customWidth="1"/>
    <col min="24" max="24" width="12.625" bestFit="1" customWidth="1"/>
  </cols>
  <sheetData>
    <row r="1" spans="1:24" ht="21" customHeight="1">
      <c r="A1" s="445" t="s">
        <v>650</v>
      </c>
      <c r="B1" s="445"/>
      <c r="C1" s="445"/>
      <c r="D1" s="445"/>
      <c r="E1" s="445"/>
      <c r="F1" s="445"/>
      <c r="G1" s="445"/>
      <c r="H1" s="445"/>
      <c r="I1" s="445"/>
      <c r="J1" s="445"/>
      <c r="K1" s="445"/>
      <c r="L1" s="445"/>
      <c r="M1" s="445"/>
      <c r="N1" s="445"/>
      <c r="O1" s="445"/>
      <c r="P1" s="445"/>
      <c r="Q1" s="445"/>
      <c r="R1" s="445"/>
      <c r="S1" s="445"/>
      <c r="T1" s="445"/>
      <c r="U1" s="445"/>
      <c r="V1" s="445"/>
      <c r="W1" s="445"/>
      <c r="X1" s="348" t="s">
        <v>644</v>
      </c>
    </row>
    <row r="2" spans="1:24">
      <c r="A2" s="15"/>
      <c r="B2" s="461" t="s">
        <v>383</v>
      </c>
      <c r="C2" s="461"/>
      <c r="D2" s="461" t="s">
        <v>384</v>
      </c>
      <c r="E2" s="461"/>
      <c r="F2" s="461" t="s">
        <v>385</v>
      </c>
      <c r="G2" s="461"/>
      <c r="H2" s="461" t="s">
        <v>386</v>
      </c>
      <c r="I2" s="461"/>
      <c r="J2" s="461" t="s">
        <v>387</v>
      </c>
      <c r="K2" s="461"/>
      <c r="L2" s="461" t="s">
        <v>388</v>
      </c>
      <c r="M2" s="461"/>
      <c r="N2" s="461" t="s">
        <v>389</v>
      </c>
      <c r="O2" s="461"/>
      <c r="P2" s="461" t="s">
        <v>390</v>
      </c>
      <c r="Q2" s="461"/>
      <c r="R2" s="461" t="s">
        <v>391</v>
      </c>
      <c r="S2" s="461"/>
      <c r="T2" s="461" t="s">
        <v>392</v>
      </c>
      <c r="U2" s="461"/>
      <c r="V2" s="378" t="s">
        <v>119</v>
      </c>
      <c r="W2" s="452"/>
    </row>
    <row r="3" spans="1:24" ht="20.100000000000001" customHeight="1">
      <c r="A3" s="16"/>
      <c r="B3" s="20" t="s">
        <v>150</v>
      </c>
      <c r="C3" s="20" t="s">
        <v>106</v>
      </c>
      <c r="D3" s="20" t="s">
        <v>150</v>
      </c>
      <c r="E3" s="20" t="s">
        <v>106</v>
      </c>
      <c r="F3" s="20" t="s">
        <v>150</v>
      </c>
      <c r="G3" s="20" t="s">
        <v>106</v>
      </c>
      <c r="H3" s="20" t="s">
        <v>150</v>
      </c>
      <c r="I3" s="20" t="s">
        <v>106</v>
      </c>
      <c r="J3" s="20" t="s">
        <v>150</v>
      </c>
      <c r="K3" s="20" t="s">
        <v>106</v>
      </c>
      <c r="L3" s="20" t="s">
        <v>150</v>
      </c>
      <c r="M3" s="20" t="s">
        <v>106</v>
      </c>
      <c r="N3" s="20" t="s">
        <v>150</v>
      </c>
      <c r="O3" s="20" t="s">
        <v>106</v>
      </c>
      <c r="P3" s="20" t="s">
        <v>150</v>
      </c>
      <c r="Q3" s="20" t="s">
        <v>106</v>
      </c>
      <c r="R3" s="20" t="s">
        <v>150</v>
      </c>
      <c r="S3" s="20" t="s">
        <v>106</v>
      </c>
      <c r="T3" s="20" t="s">
        <v>150</v>
      </c>
      <c r="U3" s="20" t="s">
        <v>106</v>
      </c>
      <c r="V3" s="20" t="s">
        <v>150</v>
      </c>
      <c r="W3" s="20" t="s">
        <v>106</v>
      </c>
    </row>
    <row r="4" spans="1:24" ht="20.100000000000001" customHeight="1">
      <c r="A4" s="55" t="s">
        <v>393</v>
      </c>
      <c r="B4" s="17">
        <f t="shared" ref="B4:U4" si="0">SUM(B7:B32)</f>
        <v>378</v>
      </c>
      <c r="C4" s="18">
        <f t="shared" si="0"/>
        <v>100</v>
      </c>
      <c r="D4" s="17">
        <f t="shared" si="0"/>
        <v>388</v>
      </c>
      <c r="E4" s="18">
        <f t="shared" si="0"/>
        <v>100.00000000000001</v>
      </c>
      <c r="F4" s="17">
        <f t="shared" si="0"/>
        <v>409</v>
      </c>
      <c r="G4" s="18">
        <f t="shared" si="0"/>
        <v>99.999999999999957</v>
      </c>
      <c r="H4" s="17">
        <f t="shared" si="0"/>
        <v>279</v>
      </c>
      <c r="I4" s="18">
        <f t="shared" si="0"/>
        <v>100.00000000000001</v>
      </c>
      <c r="J4" s="17">
        <f t="shared" si="0"/>
        <v>261</v>
      </c>
      <c r="K4" s="18">
        <f t="shared" si="0"/>
        <v>99.999999999999986</v>
      </c>
      <c r="L4" s="17">
        <f t="shared" si="0"/>
        <v>293</v>
      </c>
      <c r="M4" s="18">
        <f t="shared" si="0"/>
        <v>100.00000000000001</v>
      </c>
      <c r="N4" s="17">
        <f t="shared" si="0"/>
        <v>325</v>
      </c>
      <c r="O4" s="18">
        <f t="shared" si="0"/>
        <v>100</v>
      </c>
      <c r="P4" s="17">
        <f t="shared" si="0"/>
        <v>236</v>
      </c>
      <c r="Q4" s="18">
        <f t="shared" si="0"/>
        <v>99.999999999999986</v>
      </c>
      <c r="R4" s="17">
        <f t="shared" si="0"/>
        <v>301</v>
      </c>
      <c r="S4" s="18">
        <f t="shared" si="0"/>
        <v>100.00000000000003</v>
      </c>
      <c r="T4" s="53">
        <f t="shared" si="0"/>
        <v>350</v>
      </c>
      <c r="U4" s="121">
        <f t="shared" si="0"/>
        <v>100</v>
      </c>
      <c r="V4" s="59">
        <f>SUM(V7:V32)</f>
        <v>381</v>
      </c>
      <c r="W4" s="87">
        <f>SUM(W7:W32)</f>
        <v>100</v>
      </c>
    </row>
    <row r="5" spans="1:24" ht="20.100000000000001" customHeight="1">
      <c r="A5" s="122" t="s">
        <v>394</v>
      </c>
      <c r="B5" s="17">
        <v>347</v>
      </c>
      <c r="C5" s="18">
        <f>IFERROR(B5/B$4*100,"-")</f>
        <v>91.798941798941797</v>
      </c>
      <c r="D5" s="17">
        <v>348</v>
      </c>
      <c r="E5" s="18">
        <f>IFERROR(D5/D$4*100,"-")</f>
        <v>89.690721649484544</v>
      </c>
      <c r="F5" s="17">
        <v>376</v>
      </c>
      <c r="G5" s="18">
        <f>IFERROR(F5/F$4*100,"-")</f>
        <v>91.931540342298291</v>
      </c>
      <c r="H5" s="17">
        <v>261</v>
      </c>
      <c r="I5" s="18">
        <f>IFERROR(H5/H$4*100,"-")</f>
        <v>93.548387096774192</v>
      </c>
      <c r="J5" s="17">
        <v>244</v>
      </c>
      <c r="K5" s="18">
        <f>IFERROR(J5/J$4*100,"-")</f>
        <v>93.486590038314176</v>
      </c>
      <c r="L5" s="17">
        <v>270</v>
      </c>
      <c r="M5" s="18">
        <f>IFERROR(L5/L$4*100,"-")</f>
        <v>92.150170648464169</v>
      </c>
      <c r="N5" s="17">
        <v>300</v>
      </c>
      <c r="O5" s="18">
        <f>IFERROR(N5/N$4*100,"-")</f>
        <v>92.307692307692307</v>
      </c>
      <c r="P5" s="17">
        <v>210</v>
      </c>
      <c r="Q5" s="18">
        <f>IFERROR(P5/P$4*100,"-")</f>
        <v>88.983050847457619</v>
      </c>
      <c r="R5" s="17">
        <v>284</v>
      </c>
      <c r="S5" s="18">
        <f>IFERROR(R5/R$4*100,"-")</f>
        <v>94.352159468438529</v>
      </c>
      <c r="T5" s="17">
        <v>325</v>
      </c>
      <c r="U5" s="18">
        <f>IFERROR(T5/T$4*100,"-")</f>
        <v>92.857142857142861</v>
      </c>
      <c r="V5" s="59">
        <v>354</v>
      </c>
      <c r="W5" s="87">
        <f t="shared" ref="W5:W6" si="1">IFERROR(V5/V$4*100,"-")</f>
        <v>92.913385826771659</v>
      </c>
    </row>
    <row r="6" spans="1:24" ht="20.100000000000001" customHeight="1">
      <c r="A6" s="123" t="s">
        <v>395</v>
      </c>
      <c r="B6" s="54">
        <v>31</v>
      </c>
      <c r="C6" s="124">
        <f t="shared" ref="C6:E6" si="2">IFERROR(B6/B$4*100,"-")</f>
        <v>8.2010582010582009</v>
      </c>
      <c r="D6" s="54">
        <v>40</v>
      </c>
      <c r="E6" s="124">
        <f t="shared" si="2"/>
        <v>10.309278350515463</v>
      </c>
      <c r="F6" s="54">
        <v>33</v>
      </c>
      <c r="G6" s="124">
        <f t="shared" ref="G6" si="3">IFERROR(F6/F$4*100,"-")</f>
        <v>8.0684596577017107</v>
      </c>
      <c r="H6" s="54">
        <v>18</v>
      </c>
      <c r="I6" s="124">
        <f t="shared" ref="I6" si="4">IFERROR(H6/H$4*100,"-")</f>
        <v>6.4516129032258061</v>
      </c>
      <c r="J6" s="54">
        <v>17</v>
      </c>
      <c r="K6" s="124">
        <f t="shared" ref="K6" si="5">IFERROR(J6/J$4*100,"-")</f>
        <v>6.5134099616858236</v>
      </c>
      <c r="L6" s="54">
        <v>23</v>
      </c>
      <c r="M6" s="124">
        <f t="shared" ref="M6" si="6">IFERROR(L6/L$4*100,"-")</f>
        <v>7.8498293515358366</v>
      </c>
      <c r="N6" s="54">
        <v>25</v>
      </c>
      <c r="O6" s="124">
        <f t="shared" ref="O6" si="7">IFERROR(N6/N$4*100,"-")</f>
        <v>7.6923076923076925</v>
      </c>
      <c r="P6" s="54">
        <v>26</v>
      </c>
      <c r="Q6" s="124">
        <f t="shared" ref="Q6" si="8">IFERROR(P6/P$4*100,"-")</f>
        <v>11.016949152542372</v>
      </c>
      <c r="R6" s="54">
        <v>17</v>
      </c>
      <c r="S6" s="124">
        <f t="shared" ref="S6" si="9">IFERROR(R6/R$4*100,"-")</f>
        <v>5.6478405315614619</v>
      </c>
      <c r="T6" s="54">
        <v>25</v>
      </c>
      <c r="U6" s="124">
        <f t="shared" ref="U6" si="10">IFERROR(T6/T$4*100,"-")</f>
        <v>7.1428571428571423</v>
      </c>
      <c r="V6" s="94">
        <v>27</v>
      </c>
      <c r="W6" s="95">
        <f t="shared" si="1"/>
        <v>7.0866141732283463</v>
      </c>
    </row>
    <row r="7" spans="1:24" ht="20.100000000000001" customHeight="1">
      <c r="A7" s="125" t="s">
        <v>396</v>
      </c>
      <c r="B7" s="126">
        <v>221</v>
      </c>
      <c r="C7" s="18">
        <f t="shared" ref="C7:C32" si="11">IFERROR(B7/B$4*100,"-")</f>
        <v>58.465608465608469</v>
      </c>
      <c r="D7" s="126">
        <v>220</v>
      </c>
      <c r="E7" s="18">
        <f t="shared" ref="E7:E32" si="12">IFERROR(D7/D$4*100,"-")</f>
        <v>56.701030927835049</v>
      </c>
      <c r="F7" s="126">
        <v>225</v>
      </c>
      <c r="G7" s="18">
        <f t="shared" ref="G7:G32" si="13">IFERROR(F7/F$4*100,"-")</f>
        <v>55.012224938875306</v>
      </c>
      <c r="H7" s="126">
        <v>129</v>
      </c>
      <c r="I7" s="18">
        <f t="shared" ref="I7:I32" si="14">IFERROR(H7/H$4*100,"-")</f>
        <v>46.236559139784944</v>
      </c>
      <c r="J7" s="126">
        <v>152</v>
      </c>
      <c r="K7" s="18">
        <f t="shared" ref="K7:K32" si="15">IFERROR(J7/J$4*100,"-")</f>
        <v>58.237547892720308</v>
      </c>
      <c r="L7" s="126">
        <v>139</v>
      </c>
      <c r="M7" s="18">
        <f t="shared" ref="M7:M32" si="16">IFERROR(L7/L$4*100,"-")</f>
        <v>47.44027303754266</v>
      </c>
      <c r="N7" s="126">
        <v>182</v>
      </c>
      <c r="O7" s="18">
        <f t="shared" ref="O7:O32" si="17">IFERROR(N7/N$4*100,"-")</f>
        <v>56.000000000000007</v>
      </c>
      <c r="P7" s="126">
        <v>148</v>
      </c>
      <c r="Q7" s="18">
        <f t="shared" ref="Q7:Q32" si="18">IFERROR(P7/P$4*100,"-")</f>
        <v>62.711864406779661</v>
      </c>
      <c r="R7" s="17">
        <v>161</v>
      </c>
      <c r="S7" s="18">
        <f t="shared" ref="S7:S32" si="19">IFERROR(R7/R$4*100,"-")</f>
        <v>53.488372093023251</v>
      </c>
      <c r="T7" s="127">
        <v>211</v>
      </c>
      <c r="U7" s="18">
        <f t="shared" ref="U7:U32" si="20">IFERROR(T7/T$4*100,"-")</f>
        <v>60.285714285714285</v>
      </c>
      <c r="V7" s="60">
        <v>236</v>
      </c>
      <c r="W7" s="87">
        <f t="shared" ref="W7:W32" si="21">IFERROR(V7/V$4*100,"-")</f>
        <v>61.942257217847775</v>
      </c>
    </row>
    <row r="8" spans="1:24" ht="20.100000000000001" customHeight="1">
      <c r="A8" s="125" t="s">
        <v>397</v>
      </c>
      <c r="B8" s="17">
        <v>64</v>
      </c>
      <c r="C8" s="18">
        <f t="shared" si="11"/>
        <v>16.93121693121693</v>
      </c>
      <c r="D8" s="17">
        <v>50</v>
      </c>
      <c r="E8" s="18">
        <f t="shared" si="12"/>
        <v>12.886597938144329</v>
      </c>
      <c r="F8" s="17">
        <v>68</v>
      </c>
      <c r="G8" s="18">
        <f t="shared" si="13"/>
        <v>16.625916870415647</v>
      </c>
      <c r="H8" s="17">
        <v>45</v>
      </c>
      <c r="I8" s="18">
        <f t="shared" si="14"/>
        <v>16.129032258064516</v>
      </c>
      <c r="J8" s="17">
        <v>38</v>
      </c>
      <c r="K8" s="18">
        <f t="shared" si="15"/>
        <v>14.559386973180077</v>
      </c>
      <c r="L8" s="17">
        <v>43</v>
      </c>
      <c r="M8" s="18">
        <f t="shared" si="16"/>
        <v>14.675767918088736</v>
      </c>
      <c r="N8" s="17">
        <v>37</v>
      </c>
      <c r="O8" s="18">
        <f t="shared" si="17"/>
        <v>11.384615384615385</v>
      </c>
      <c r="P8" s="17">
        <v>25</v>
      </c>
      <c r="Q8" s="18">
        <f t="shared" si="18"/>
        <v>10.59322033898305</v>
      </c>
      <c r="R8" s="17">
        <v>39</v>
      </c>
      <c r="S8" s="18">
        <f t="shared" si="19"/>
        <v>12.956810631229235</v>
      </c>
      <c r="T8" s="127">
        <v>42</v>
      </c>
      <c r="U8" s="18">
        <f t="shared" si="20"/>
        <v>12</v>
      </c>
      <c r="V8" s="59">
        <v>33</v>
      </c>
      <c r="W8" s="87">
        <f t="shared" si="21"/>
        <v>8.6614173228346463</v>
      </c>
    </row>
    <row r="9" spans="1:24" ht="20.100000000000001" customHeight="1">
      <c r="A9" s="125" t="s">
        <v>399</v>
      </c>
      <c r="B9" s="17">
        <v>21</v>
      </c>
      <c r="C9" s="18">
        <f t="shared" si="11"/>
        <v>5.5555555555555554</v>
      </c>
      <c r="D9" s="17">
        <v>22</v>
      </c>
      <c r="E9" s="18">
        <f t="shared" si="12"/>
        <v>5.6701030927835054</v>
      </c>
      <c r="F9" s="17">
        <v>23</v>
      </c>
      <c r="G9" s="18">
        <f t="shared" si="13"/>
        <v>5.6234718826405867</v>
      </c>
      <c r="H9" s="17">
        <v>37</v>
      </c>
      <c r="I9" s="18">
        <f t="shared" si="14"/>
        <v>13.261648745519713</v>
      </c>
      <c r="J9" s="17">
        <v>14</v>
      </c>
      <c r="K9" s="18">
        <f t="shared" si="15"/>
        <v>5.3639846743295019</v>
      </c>
      <c r="L9" s="17">
        <v>15</v>
      </c>
      <c r="M9" s="18">
        <f t="shared" si="16"/>
        <v>5.1194539249146755</v>
      </c>
      <c r="N9" s="17">
        <v>18</v>
      </c>
      <c r="O9" s="18">
        <f t="shared" si="17"/>
        <v>5.5384615384615383</v>
      </c>
      <c r="P9" s="17">
        <v>13</v>
      </c>
      <c r="Q9" s="18">
        <f t="shared" si="18"/>
        <v>5.508474576271186</v>
      </c>
      <c r="R9" s="17">
        <v>18</v>
      </c>
      <c r="S9" s="18">
        <f t="shared" si="19"/>
        <v>5.9800664451827243</v>
      </c>
      <c r="T9" s="127">
        <v>14</v>
      </c>
      <c r="U9" s="18">
        <f t="shared" si="20"/>
        <v>4</v>
      </c>
      <c r="V9" s="59">
        <v>24</v>
      </c>
      <c r="W9" s="87">
        <f t="shared" si="21"/>
        <v>6.2992125984251963</v>
      </c>
    </row>
    <row r="10" spans="1:24" ht="20.100000000000001" customHeight="1">
      <c r="A10" s="241" t="s">
        <v>290</v>
      </c>
      <c r="B10" s="17" t="s">
        <v>77</v>
      </c>
      <c r="C10" s="18" t="str">
        <f t="shared" si="11"/>
        <v>-</v>
      </c>
      <c r="D10" s="17" t="s">
        <v>77</v>
      </c>
      <c r="E10" s="18" t="str">
        <f t="shared" si="12"/>
        <v>-</v>
      </c>
      <c r="F10" s="17">
        <v>2</v>
      </c>
      <c r="G10" s="18">
        <f t="shared" si="13"/>
        <v>0.48899755501222492</v>
      </c>
      <c r="H10" s="17">
        <v>1</v>
      </c>
      <c r="I10" s="18">
        <f t="shared" si="14"/>
        <v>0.35842293906810035</v>
      </c>
      <c r="J10" s="17" t="s">
        <v>77</v>
      </c>
      <c r="K10" s="18" t="str">
        <f t="shared" si="15"/>
        <v>-</v>
      </c>
      <c r="L10" s="17">
        <v>1</v>
      </c>
      <c r="M10" s="18">
        <f t="shared" si="16"/>
        <v>0.34129692832764508</v>
      </c>
      <c r="N10" s="17">
        <v>7</v>
      </c>
      <c r="O10" s="18">
        <f t="shared" si="17"/>
        <v>2.1538461538461537</v>
      </c>
      <c r="P10" s="17">
        <v>5</v>
      </c>
      <c r="Q10" s="18">
        <f t="shared" si="18"/>
        <v>2.1186440677966099</v>
      </c>
      <c r="R10" s="17">
        <v>9</v>
      </c>
      <c r="S10" s="18">
        <f t="shared" si="19"/>
        <v>2.9900332225913622</v>
      </c>
      <c r="T10" s="127">
        <v>22</v>
      </c>
      <c r="U10" s="18">
        <f t="shared" si="20"/>
        <v>6.2857142857142865</v>
      </c>
      <c r="V10" s="59">
        <v>23</v>
      </c>
      <c r="W10" s="87">
        <f t="shared" si="21"/>
        <v>6.0367454068241466</v>
      </c>
    </row>
    <row r="11" spans="1:24" ht="20.100000000000001" customHeight="1">
      <c r="A11" s="125" t="s">
        <v>398</v>
      </c>
      <c r="B11" s="17">
        <v>36</v>
      </c>
      <c r="C11" s="18">
        <f t="shared" si="11"/>
        <v>9.5238095238095237</v>
      </c>
      <c r="D11" s="17">
        <v>47</v>
      </c>
      <c r="E11" s="18">
        <f t="shared" si="12"/>
        <v>12.11340206185567</v>
      </c>
      <c r="F11" s="17">
        <v>47</v>
      </c>
      <c r="G11" s="18">
        <f t="shared" si="13"/>
        <v>11.491442542787286</v>
      </c>
      <c r="H11" s="17">
        <v>36</v>
      </c>
      <c r="I11" s="18">
        <f t="shared" si="14"/>
        <v>12.903225806451612</v>
      </c>
      <c r="J11" s="17">
        <v>16</v>
      </c>
      <c r="K11" s="18">
        <f t="shared" si="15"/>
        <v>6.1302681992337158</v>
      </c>
      <c r="L11" s="17">
        <v>30</v>
      </c>
      <c r="M11" s="18">
        <f t="shared" si="16"/>
        <v>10.238907849829351</v>
      </c>
      <c r="N11" s="17">
        <v>18</v>
      </c>
      <c r="O11" s="18">
        <f t="shared" si="17"/>
        <v>5.5384615384615383</v>
      </c>
      <c r="P11" s="17">
        <v>5</v>
      </c>
      <c r="Q11" s="18">
        <f t="shared" si="18"/>
        <v>2.1186440677966099</v>
      </c>
      <c r="R11" s="17">
        <v>21</v>
      </c>
      <c r="S11" s="18">
        <f t="shared" si="19"/>
        <v>6.9767441860465116</v>
      </c>
      <c r="T11" s="127">
        <v>14</v>
      </c>
      <c r="U11" s="18">
        <f t="shared" si="20"/>
        <v>4</v>
      </c>
      <c r="V11" s="59">
        <v>22</v>
      </c>
      <c r="W11" s="87">
        <f t="shared" si="21"/>
        <v>5.7742782152230969</v>
      </c>
    </row>
    <row r="12" spans="1:24" ht="20.100000000000001" customHeight="1">
      <c r="A12" s="125" t="s">
        <v>401</v>
      </c>
      <c r="B12" s="17">
        <v>3</v>
      </c>
      <c r="C12" s="18">
        <f t="shared" si="11"/>
        <v>0.79365079365079361</v>
      </c>
      <c r="D12" s="17">
        <v>3</v>
      </c>
      <c r="E12" s="18">
        <f t="shared" si="12"/>
        <v>0.77319587628865982</v>
      </c>
      <c r="F12" s="17">
        <v>3</v>
      </c>
      <c r="G12" s="18">
        <f t="shared" si="13"/>
        <v>0.73349633251833746</v>
      </c>
      <c r="H12" s="17">
        <v>2</v>
      </c>
      <c r="I12" s="18">
        <f t="shared" si="14"/>
        <v>0.71684587813620071</v>
      </c>
      <c r="J12" s="17">
        <v>3</v>
      </c>
      <c r="K12" s="18">
        <f t="shared" si="15"/>
        <v>1.1494252873563218</v>
      </c>
      <c r="L12" s="17">
        <v>7</v>
      </c>
      <c r="M12" s="18">
        <f t="shared" si="16"/>
        <v>2.3890784982935154</v>
      </c>
      <c r="N12" s="17">
        <v>8</v>
      </c>
      <c r="O12" s="18">
        <f t="shared" si="17"/>
        <v>2.4615384615384617</v>
      </c>
      <c r="P12" s="17">
        <v>7</v>
      </c>
      <c r="Q12" s="18">
        <f t="shared" si="18"/>
        <v>2.9661016949152543</v>
      </c>
      <c r="R12" s="17">
        <v>12</v>
      </c>
      <c r="S12" s="18">
        <f t="shared" si="19"/>
        <v>3.9867109634551494</v>
      </c>
      <c r="T12" s="127">
        <v>13</v>
      </c>
      <c r="U12" s="18">
        <f t="shared" si="20"/>
        <v>3.7142857142857144</v>
      </c>
      <c r="V12" s="59">
        <v>13</v>
      </c>
      <c r="W12" s="87">
        <f t="shared" si="21"/>
        <v>3.4120734908136483</v>
      </c>
    </row>
    <row r="13" spans="1:24" ht="20.100000000000001" customHeight="1">
      <c r="A13" s="125" t="s">
        <v>400</v>
      </c>
      <c r="B13" s="17">
        <v>17</v>
      </c>
      <c r="C13" s="18">
        <f t="shared" si="11"/>
        <v>4.4973544973544968</v>
      </c>
      <c r="D13" s="17">
        <v>23</v>
      </c>
      <c r="E13" s="18">
        <f t="shared" si="12"/>
        <v>5.9278350515463911</v>
      </c>
      <c r="F13" s="17">
        <v>19</v>
      </c>
      <c r="G13" s="18">
        <f t="shared" si="13"/>
        <v>4.6454767726161368</v>
      </c>
      <c r="H13" s="17">
        <v>12</v>
      </c>
      <c r="I13" s="18">
        <f t="shared" si="14"/>
        <v>4.3010752688172049</v>
      </c>
      <c r="J13" s="17">
        <v>12</v>
      </c>
      <c r="K13" s="18">
        <f t="shared" si="15"/>
        <v>4.5977011494252871</v>
      </c>
      <c r="L13" s="17">
        <v>21</v>
      </c>
      <c r="M13" s="18">
        <f t="shared" si="16"/>
        <v>7.1672354948805461</v>
      </c>
      <c r="N13" s="17">
        <v>13</v>
      </c>
      <c r="O13" s="18">
        <f t="shared" si="17"/>
        <v>4</v>
      </c>
      <c r="P13" s="17">
        <v>6</v>
      </c>
      <c r="Q13" s="18">
        <f t="shared" si="18"/>
        <v>2.5423728813559325</v>
      </c>
      <c r="R13" s="17">
        <v>5</v>
      </c>
      <c r="S13" s="18">
        <f t="shared" si="19"/>
        <v>1.6611295681063125</v>
      </c>
      <c r="T13" s="127">
        <v>13</v>
      </c>
      <c r="U13" s="18">
        <f t="shared" si="20"/>
        <v>3.7142857142857144</v>
      </c>
      <c r="V13" s="59">
        <v>10</v>
      </c>
      <c r="W13" s="87">
        <f t="shared" si="21"/>
        <v>2.6246719160104988</v>
      </c>
    </row>
    <row r="14" spans="1:24" ht="20.100000000000001" customHeight="1">
      <c r="A14" s="125" t="s">
        <v>403</v>
      </c>
      <c r="B14" s="17">
        <v>5</v>
      </c>
      <c r="C14" s="18">
        <f t="shared" si="11"/>
        <v>1.3227513227513228</v>
      </c>
      <c r="D14" s="17">
        <v>4</v>
      </c>
      <c r="E14" s="18">
        <f t="shared" si="12"/>
        <v>1.0309278350515463</v>
      </c>
      <c r="F14" s="17">
        <v>2</v>
      </c>
      <c r="G14" s="18">
        <f t="shared" si="13"/>
        <v>0.48899755501222492</v>
      </c>
      <c r="H14" s="17">
        <v>2</v>
      </c>
      <c r="I14" s="18">
        <f t="shared" si="14"/>
        <v>0.71684587813620071</v>
      </c>
      <c r="J14" s="17">
        <v>3</v>
      </c>
      <c r="K14" s="18">
        <f t="shared" si="15"/>
        <v>1.1494252873563218</v>
      </c>
      <c r="L14" s="17">
        <v>1</v>
      </c>
      <c r="M14" s="18">
        <f t="shared" si="16"/>
        <v>0.34129692832764508</v>
      </c>
      <c r="N14" s="17">
        <v>7</v>
      </c>
      <c r="O14" s="18">
        <f t="shared" si="17"/>
        <v>2.1538461538461537</v>
      </c>
      <c r="P14" s="17">
        <v>5</v>
      </c>
      <c r="Q14" s="18">
        <f t="shared" si="18"/>
        <v>2.1186440677966099</v>
      </c>
      <c r="R14" s="17">
        <v>5</v>
      </c>
      <c r="S14" s="18">
        <f t="shared" si="19"/>
        <v>1.6611295681063125</v>
      </c>
      <c r="T14" s="127">
        <v>4</v>
      </c>
      <c r="U14" s="18">
        <f t="shared" si="20"/>
        <v>1.1428571428571428</v>
      </c>
      <c r="V14" s="59">
        <v>7</v>
      </c>
      <c r="W14" s="87">
        <f t="shared" si="21"/>
        <v>1.837270341207349</v>
      </c>
    </row>
    <row r="15" spans="1:24" ht="20.100000000000001" customHeight="1">
      <c r="A15" s="125" t="s">
        <v>404</v>
      </c>
      <c r="B15" s="17">
        <v>2</v>
      </c>
      <c r="C15" s="18">
        <f t="shared" si="11"/>
        <v>0.52910052910052907</v>
      </c>
      <c r="D15" s="17">
        <v>4</v>
      </c>
      <c r="E15" s="18">
        <f t="shared" si="12"/>
        <v>1.0309278350515463</v>
      </c>
      <c r="F15" s="17">
        <v>1</v>
      </c>
      <c r="G15" s="18">
        <f t="shared" si="13"/>
        <v>0.24449877750611246</v>
      </c>
      <c r="H15" s="17">
        <v>3</v>
      </c>
      <c r="I15" s="18">
        <f t="shared" si="14"/>
        <v>1.0752688172043012</v>
      </c>
      <c r="J15" s="17">
        <v>1</v>
      </c>
      <c r="K15" s="18">
        <f t="shared" si="15"/>
        <v>0.38314176245210724</v>
      </c>
      <c r="L15" s="17">
        <v>1</v>
      </c>
      <c r="M15" s="18">
        <f t="shared" si="16"/>
        <v>0.34129692832764508</v>
      </c>
      <c r="N15" s="17">
        <v>3</v>
      </c>
      <c r="O15" s="18">
        <f t="shared" si="17"/>
        <v>0.92307692307692313</v>
      </c>
      <c r="P15" s="17">
        <v>3</v>
      </c>
      <c r="Q15" s="18">
        <f t="shared" si="18"/>
        <v>1.2711864406779663</v>
      </c>
      <c r="R15" s="17">
        <v>5</v>
      </c>
      <c r="S15" s="18">
        <f t="shared" si="19"/>
        <v>1.6611295681063125</v>
      </c>
      <c r="T15" s="127">
        <v>4</v>
      </c>
      <c r="U15" s="18">
        <f t="shared" si="20"/>
        <v>1.1428571428571428</v>
      </c>
      <c r="V15" s="59">
        <v>5</v>
      </c>
      <c r="W15" s="87">
        <f t="shared" si="21"/>
        <v>1.3123359580052494</v>
      </c>
    </row>
    <row r="16" spans="1:24" ht="20.100000000000001" customHeight="1">
      <c r="A16" s="125" t="s">
        <v>405</v>
      </c>
      <c r="B16" s="17" t="s">
        <v>77</v>
      </c>
      <c r="C16" s="18" t="str">
        <f t="shared" si="11"/>
        <v>-</v>
      </c>
      <c r="D16" s="17">
        <v>5</v>
      </c>
      <c r="E16" s="18">
        <f t="shared" si="12"/>
        <v>1.2886597938144329</v>
      </c>
      <c r="F16" s="17">
        <v>2</v>
      </c>
      <c r="G16" s="18">
        <f t="shared" si="13"/>
        <v>0.48899755501222492</v>
      </c>
      <c r="H16" s="17">
        <v>8</v>
      </c>
      <c r="I16" s="18">
        <f t="shared" si="14"/>
        <v>2.8673835125448028</v>
      </c>
      <c r="J16" s="17">
        <v>13</v>
      </c>
      <c r="K16" s="18">
        <f t="shared" si="15"/>
        <v>4.980842911877394</v>
      </c>
      <c r="L16" s="17">
        <v>27</v>
      </c>
      <c r="M16" s="18">
        <f t="shared" si="16"/>
        <v>9.2150170648464158</v>
      </c>
      <c r="N16" s="17">
        <v>28</v>
      </c>
      <c r="O16" s="18">
        <f t="shared" si="17"/>
        <v>8.615384615384615</v>
      </c>
      <c r="P16" s="17">
        <v>11</v>
      </c>
      <c r="Q16" s="18">
        <f t="shared" si="18"/>
        <v>4.6610169491525424</v>
      </c>
      <c r="R16" s="17">
        <v>10</v>
      </c>
      <c r="S16" s="18">
        <f t="shared" si="19"/>
        <v>3.322259136212625</v>
      </c>
      <c r="T16" s="127">
        <v>3</v>
      </c>
      <c r="U16" s="18">
        <f t="shared" si="20"/>
        <v>0.85714285714285721</v>
      </c>
      <c r="V16" s="59">
        <v>4</v>
      </c>
      <c r="W16" s="87">
        <f t="shared" si="21"/>
        <v>1.0498687664041995</v>
      </c>
    </row>
    <row r="17" spans="1:23" ht="20.100000000000001" customHeight="1">
      <c r="A17" s="125" t="s">
        <v>418</v>
      </c>
      <c r="B17" s="17" t="s">
        <v>77</v>
      </c>
      <c r="C17" s="18" t="str">
        <f t="shared" si="11"/>
        <v>-</v>
      </c>
      <c r="D17" s="17" t="s">
        <v>77</v>
      </c>
      <c r="E17" s="18" t="str">
        <f t="shared" si="12"/>
        <v>-</v>
      </c>
      <c r="F17" s="17" t="s">
        <v>77</v>
      </c>
      <c r="G17" s="18" t="str">
        <f t="shared" si="13"/>
        <v>-</v>
      </c>
      <c r="H17" s="17" t="s">
        <v>77</v>
      </c>
      <c r="I17" s="18" t="str">
        <f t="shared" si="14"/>
        <v>-</v>
      </c>
      <c r="J17" s="17" t="s">
        <v>77</v>
      </c>
      <c r="K17" s="18" t="str">
        <f t="shared" si="15"/>
        <v>-</v>
      </c>
      <c r="L17" s="17" t="s">
        <v>77</v>
      </c>
      <c r="M17" s="18" t="str">
        <f t="shared" si="16"/>
        <v>-</v>
      </c>
      <c r="N17" s="17" t="s">
        <v>77</v>
      </c>
      <c r="O17" s="18" t="str">
        <f t="shared" si="17"/>
        <v>-</v>
      </c>
      <c r="P17" s="17" t="s">
        <v>77</v>
      </c>
      <c r="Q17" s="18" t="str">
        <f t="shared" si="18"/>
        <v>-</v>
      </c>
      <c r="R17" s="17" t="s">
        <v>77</v>
      </c>
      <c r="S17" s="18" t="str">
        <f t="shared" si="19"/>
        <v>-</v>
      </c>
      <c r="T17" s="129" t="s">
        <v>77</v>
      </c>
      <c r="U17" s="18" t="str">
        <f t="shared" si="20"/>
        <v>-</v>
      </c>
      <c r="V17" s="59">
        <v>2</v>
      </c>
      <c r="W17" s="87">
        <f t="shared" si="21"/>
        <v>0.52493438320209973</v>
      </c>
    </row>
    <row r="18" spans="1:23" ht="20.100000000000001" customHeight="1">
      <c r="A18" s="125" t="s">
        <v>402</v>
      </c>
      <c r="B18" s="17">
        <v>5</v>
      </c>
      <c r="C18" s="18">
        <f t="shared" si="11"/>
        <v>1.3227513227513228</v>
      </c>
      <c r="D18" s="17">
        <v>1</v>
      </c>
      <c r="E18" s="18">
        <f t="shared" si="12"/>
        <v>0.25773195876288657</v>
      </c>
      <c r="F18" s="17">
        <v>4</v>
      </c>
      <c r="G18" s="18">
        <f t="shared" si="13"/>
        <v>0.97799511002444983</v>
      </c>
      <c r="H18" s="17">
        <v>1</v>
      </c>
      <c r="I18" s="18">
        <f t="shared" si="14"/>
        <v>0.35842293906810035</v>
      </c>
      <c r="J18" s="17">
        <v>2</v>
      </c>
      <c r="K18" s="18">
        <f t="shared" si="15"/>
        <v>0.76628352490421447</v>
      </c>
      <c r="L18" s="17">
        <v>6</v>
      </c>
      <c r="M18" s="18">
        <f t="shared" si="16"/>
        <v>2.0477815699658701</v>
      </c>
      <c r="N18" s="17">
        <v>1</v>
      </c>
      <c r="O18" s="18">
        <f t="shared" si="17"/>
        <v>0.30769230769230771</v>
      </c>
      <c r="P18" s="17" t="s">
        <v>77</v>
      </c>
      <c r="Q18" s="18" t="str">
        <f t="shared" si="18"/>
        <v>-</v>
      </c>
      <c r="R18" s="17">
        <v>11</v>
      </c>
      <c r="S18" s="18">
        <f t="shared" si="19"/>
        <v>3.6544850498338874</v>
      </c>
      <c r="T18" s="127">
        <v>6</v>
      </c>
      <c r="U18" s="18">
        <f t="shared" si="20"/>
        <v>1.7142857142857144</v>
      </c>
      <c r="V18" s="231">
        <v>1</v>
      </c>
      <c r="W18" s="87">
        <f t="shared" si="21"/>
        <v>0.26246719160104987</v>
      </c>
    </row>
    <row r="19" spans="1:23" ht="20.100000000000001" customHeight="1">
      <c r="A19" s="125" t="s">
        <v>414</v>
      </c>
      <c r="B19" s="17" t="s">
        <v>77</v>
      </c>
      <c r="C19" s="18" t="str">
        <f t="shared" si="11"/>
        <v>-</v>
      </c>
      <c r="D19" s="17" t="s">
        <v>77</v>
      </c>
      <c r="E19" s="18" t="str">
        <f t="shared" si="12"/>
        <v>-</v>
      </c>
      <c r="F19" s="17">
        <v>2</v>
      </c>
      <c r="G19" s="18">
        <f t="shared" si="13"/>
        <v>0.48899755501222492</v>
      </c>
      <c r="H19" s="17" t="s">
        <v>77</v>
      </c>
      <c r="I19" s="18" t="str">
        <f t="shared" si="14"/>
        <v>-</v>
      </c>
      <c r="J19" s="17" t="s">
        <v>77</v>
      </c>
      <c r="K19" s="18" t="str">
        <f t="shared" si="15"/>
        <v>-</v>
      </c>
      <c r="L19" s="17" t="s">
        <v>77</v>
      </c>
      <c r="M19" s="18" t="str">
        <f t="shared" si="16"/>
        <v>-</v>
      </c>
      <c r="N19" s="17" t="s">
        <v>77</v>
      </c>
      <c r="O19" s="18" t="str">
        <f t="shared" si="17"/>
        <v>-</v>
      </c>
      <c r="P19" s="17" t="s">
        <v>77</v>
      </c>
      <c r="Q19" s="18" t="str">
        <f t="shared" si="18"/>
        <v>-</v>
      </c>
      <c r="R19" s="17" t="s">
        <v>77</v>
      </c>
      <c r="S19" s="18" t="str">
        <f t="shared" si="19"/>
        <v>-</v>
      </c>
      <c r="T19" s="129" t="s">
        <v>77</v>
      </c>
      <c r="U19" s="18" t="str">
        <f t="shared" si="20"/>
        <v>-</v>
      </c>
      <c r="V19" s="231">
        <v>1</v>
      </c>
      <c r="W19" s="87">
        <f t="shared" si="21"/>
        <v>0.26246719160104987</v>
      </c>
    </row>
    <row r="20" spans="1:23" ht="20.100000000000001" customHeight="1">
      <c r="A20" s="125" t="s">
        <v>406</v>
      </c>
      <c r="B20" s="17">
        <v>1</v>
      </c>
      <c r="C20" s="18">
        <f t="shared" si="11"/>
        <v>0.26455026455026454</v>
      </c>
      <c r="D20" s="17">
        <v>2</v>
      </c>
      <c r="E20" s="18">
        <f t="shared" si="12"/>
        <v>0.51546391752577314</v>
      </c>
      <c r="F20" s="17">
        <v>1</v>
      </c>
      <c r="G20" s="18">
        <f t="shared" si="13"/>
        <v>0.24449877750611246</v>
      </c>
      <c r="H20" s="17">
        <v>1</v>
      </c>
      <c r="I20" s="18">
        <f t="shared" si="14"/>
        <v>0.35842293906810035</v>
      </c>
      <c r="J20" s="17">
        <v>5</v>
      </c>
      <c r="K20" s="18">
        <f t="shared" si="15"/>
        <v>1.9157088122605364</v>
      </c>
      <c r="L20" s="17">
        <v>1</v>
      </c>
      <c r="M20" s="18">
        <f t="shared" si="16"/>
        <v>0.34129692832764508</v>
      </c>
      <c r="N20" s="17">
        <v>1</v>
      </c>
      <c r="O20" s="18">
        <f t="shared" si="17"/>
        <v>0.30769230769230771</v>
      </c>
      <c r="P20" s="17">
        <v>3</v>
      </c>
      <c r="Q20" s="18">
        <f t="shared" si="18"/>
        <v>1.2711864406779663</v>
      </c>
      <c r="R20" s="17">
        <v>2</v>
      </c>
      <c r="S20" s="18">
        <f t="shared" si="19"/>
        <v>0.66445182724252494</v>
      </c>
      <c r="T20" s="127">
        <v>1</v>
      </c>
      <c r="U20" s="18">
        <f t="shared" si="20"/>
        <v>0.2857142857142857</v>
      </c>
      <c r="V20" s="128">
        <v>0</v>
      </c>
      <c r="W20" s="128">
        <f t="shared" si="21"/>
        <v>0</v>
      </c>
    </row>
    <row r="21" spans="1:23" ht="20.100000000000001" customHeight="1">
      <c r="A21" s="125" t="s">
        <v>407</v>
      </c>
      <c r="B21" s="17" t="s">
        <v>77</v>
      </c>
      <c r="C21" s="18" t="str">
        <f t="shared" si="11"/>
        <v>-</v>
      </c>
      <c r="D21" s="17">
        <v>1</v>
      </c>
      <c r="E21" s="18">
        <f t="shared" si="12"/>
        <v>0.25773195876288657</v>
      </c>
      <c r="F21" s="17" t="s">
        <v>77</v>
      </c>
      <c r="G21" s="18" t="str">
        <f t="shared" si="13"/>
        <v>-</v>
      </c>
      <c r="H21" s="17" t="s">
        <v>77</v>
      </c>
      <c r="I21" s="18" t="str">
        <f t="shared" si="14"/>
        <v>-</v>
      </c>
      <c r="J21" s="17" t="s">
        <v>77</v>
      </c>
      <c r="K21" s="18" t="str">
        <f t="shared" si="15"/>
        <v>-</v>
      </c>
      <c r="L21" s="17" t="s">
        <v>77</v>
      </c>
      <c r="M21" s="18" t="str">
        <f t="shared" si="16"/>
        <v>-</v>
      </c>
      <c r="N21" s="17">
        <v>1</v>
      </c>
      <c r="O21" s="18">
        <f t="shared" si="17"/>
        <v>0.30769230769230771</v>
      </c>
      <c r="P21" s="17">
        <v>3</v>
      </c>
      <c r="Q21" s="18">
        <f t="shared" si="18"/>
        <v>1.2711864406779663</v>
      </c>
      <c r="R21" s="17" t="s">
        <v>77</v>
      </c>
      <c r="S21" s="18" t="str">
        <f t="shared" si="19"/>
        <v>-</v>
      </c>
      <c r="T21" s="127">
        <v>1</v>
      </c>
      <c r="U21" s="18">
        <f t="shared" si="20"/>
        <v>0.2857142857142857</v>
      </c>
      <c r="V21" s="128">
        <v>0</v>
      </c>
      <c r="W21" s="128">
        <f t="shared" si="21"/>
        <v>0</v>
      </c>
    </row>
    <row r="22" spans="1:23" ht="20.100000000000001" customHeight="1">
      <c r="A22" s="125" t="s">
        <v>408</v>
      </c>
      <c r="B22" s="17">
        <v>1</v>
      </c>
      <c r="C22" s="18">
        <f t="shared" si="11"/>
        <v>0.26455026455026454</v>
      </c>
      <c r="D22" s="17" t="s">
        <v>77</v>
      </c>
      <c r="E22" s="18" t="str">
        <f t="shared" si="12"/>
        <v>-</v>
      </c>
      <c r="F22" s="17">
        <v>1</v>
      </c>
      <c r="G22" s="18">
        <f t="shared" si="13"/>
        <v>0.24449877750611246</v>
      </c>
      <c r="H22" s="17" t="s">
        <v>77</v>
      </c>
      <c r="I22" s="18" t="str">
        <f t="shared" si="14"/>
        <v>-</v>
      </c>
      <c r="J22" s="17" t="s">
        <v>77</v>
      </c>
      <c r="K22" s="18" t="str">
        <f t="shared" si="15"/>
        <v>-</v>
      </c>
      <c r="L22" s="17" t="s">
        <v>77</v>
      </c>
      <c r="M22" s="18" t="str">
        <f t="shared" si="16"/>
        <v>-</v>
      </c>
      <c r="N22" s="17" t="s">
        <v>77</v>
      </c>
      <c r="O22" s="18" t="str">
        <f t="shared" si="17"/>
        <v>-</v>
      </c>
      <c r="P22" s="17">
        <v>1</v>
      </c>
      <c r="Q22" s="18">
        <f t="shared" si="18"/>
        <v>0.42372881355932202</v>
      </c>
      <c r="R22" s="17">
        <v>1</v>
      </c>
      <c r="S22" s="18">
        <f t="shared" si="19"/>
        <v>0.33222591362126247</v>
      </c>
      <c r="T22" s="127">
        <v>1</v>
      </c>
      <c r="U22" s="18">
        <f t="shared" si="20"/>
        <v>0.2857142857142857</v>
      </c>
      <c r="V22" s="128">
        <v>0</v>
      </c>
      <c r="W22" s="128">
        <f t="shared" si="21"/>
        <v>0</v>
      </c>
    </row>
    <row r="23" spans="1:23" ht="20.100000000000001" customHeight="1">
      <c r="A23" s="125" t="s">
        <v>409</v>
      </c>
      <c r="B23" s="17" t="s">
        <v>77</v>
      </c>
      <c r="C23" s="18" t="str">
        <f t="shared" si="11"/>
        <v>-</v>
      </c>
      <c r="D23" s="17" t="s">
        <v>77</v>
      </c>
      <c r="E23" s="18" t="str">
        <f t="shared" si="12"/>
        <v>-</v>
      </c>
      <c r="F23" s="17" t="s">
        <v>77</v>
      </c>
      <c r="G23" s="18" t="str">
        <f t="shared" si="13"/>
        <v>-</v>
      </c>
      <c r="H23" s="17" t="s">
        <v>77</v>
      </c>
      <c r="I23" s="18" t="str">
        <f t="shared" si="14"/>
        <v>-</v>
      </c>
      <c r="J23" s="17" t="s">
        <v>77</v>
      </c>
      <c r="K23" s="18" t="str">
        <f t="shared" si="15"/>
        <v>-</v>
      </c>
      <c r="L23" s="17" t="s">
        <v>77</v>
      </c>
      <c r="M23" s="18" t="str">
        <f t="shared" si="16"/>
        <v>-</v>
      </c>
      <c r="N23" s="17" t="s">
        <v>77</v>
      </c>
      <c r="O23" s="18" t="str">
        <f t="shared" si="17"/>
        <v>-</v>
      </c>
      <c r="P23" s="17" t="s">
        <v>77</v>
      </c>
      <c r="Q23" s="18" t="str">
        <f t="shared" si="18"/>
        <v>-</v>
      </c>
      <c r="R23" s="17">
        <v>1</v>
      </c>
      <c r="S23" s="18">
        <f t="shared" si="19"/>
        <v>0.33222591362126247</v>
      </c>
      <c r="T23" s="129" t="s">
        <v>77</v>
      </c>
      <c r="U23" s="18" t="str">
        <f t="shared" si="20"/>
        <v>-</v>
      </c>
      <c r="V23" s="128">
        <v>0</v>
      </c>
      <c r="W23" s="128">
        <f t="shared" si="21"/>
        <v>0</v>
      </c>
    </row>
    <row r="24" spans="1:23" ht="20.100000000000001" customHeight="1">
      <c r="A24" s="125" t="s">
        <v>410</v>
      </c>
      <c r="B24" s="17" t="s">
        <v>77</v>
      </c>
      <c r="C24" s="18" t="str">
        <f t="shared" si="11"/>
        <v>-</v>
      </c>
      <c r="D24" s="17">
        <v>1</v>
      </c>
      <c r="E24" s="18">
        <f t="shared" si="12"/>
        <v>0.25773195876288657</v>
      </c>
      <c r="F24" s="17">
        <v>1</v>
      </c>
      <c r="G24" s="18">
        <f t="shared" si="13"/>
        <v>0.24449877750611246</v>
      </c>
      <c r="H24" s="17">
        <v>1</v>
      </c>
      <c r="I24" s="18">
        <f t="shared" si="14"/>
        <v>0.35842293906810035</v>
      </c>
      <c r="J24" s="17" t="s">
        <v>77</v>
      </c>
      <c r="K24" s="18" t="str">
        <f t="shared" si="15"/>
        <v>-</v>
      </c>
      <c r="L24" s="17" t="s">
        <v>77</v>
      </c>
      <c r="M24" s="18" t="str">
        <f t="shared" si="16"/>
        <v>-</v>
      </c>
      <c r="N24" s="17" t="s">
        <v>77</v>
      </c>
      <c r="O24" s="18" t="str">
        <f t="shared" si="17"/>
        <v>-</v>
      </c>
      <c r="P24" s="17" t="s">
        <v>77</v>
      </c>
      <c r="Q24" s="18" t="str">
        <f t="shared" si="18"/>
        <v>-</v>
      </c>
      <c r="R24" s="17" t="s">
        <v>77</v>
      </c>
      <c r="S24" s="18" t="str">
        <f t="shared" si="19"/>
        <v>-</v>
      </c>
      <c r="T24" s="129" t="s">
        <v>77</v>
      </c>
      <c r="U24" s="18" t="str">
        <f t="shared" si="20"/>
        <v>-</v>
      </c>
      <c r="V24" s="128">
        <v>0</v>
      </c>
      <c r="W24" s="128">
        <f t="shared" si="21"/>
        <v>0</v>
      </c>
    </row>
    <row r="25" spans="1:23" ht="20.100000000000001" customHeight="1">
      <c r="A25" s="125" t="s">
        <v>411</v>
      </c>
      <c r="B25" s="17" t="s">
        <v>77</v>
      </c>
      <c r="C25" s="18" t="str">
        <f t="shared" si="11"/>
        <v>-</v>
      </c>
      <c r="D25" s="17" t="s">
        <v>77</v>
      </c>
      <c r="E25" s="18" t="str">
        <f t="shared" si="12"/>
        <v>-</v>
      </c>
      <c r="F25" s="17">
        <v>1</v>
      </c>
      <c r="G25" s="18">
        <f t="shared" si="13"/>
        <v>0.24449877750611246</v>
      </c>
      <c r="H25" s="17" t="s">
        <v>77</v>
      </c>
      <c r="I25" s="18" t="str">
        <f t="shared" si="14"/>
        <v>-</v>
      </c>
      <c r="J25" s="17" t="s">
        <v>77</v>
      </c>
      <c r="K25" s="18" t="str">
        <f t="shared" si="15"/>
        <v>-</v>
      </c>
      <c r="L25" s="17" t="s">
        <v>77</v>
      </c>
      <c r="M25" s="18" t="str">
        <f t="shared" si="16"/>
        <v>-</v>
      </c>
      <c r="N25" s="17" t="s">
        <v>77</v>
      </c>
      <c r="O25" s="18" t="str">
        <f t="shared" si="17"/>
        <v>-</v>
      </c>
      <c r="P25" s="17" t="s">
        <v>77</v>
      </c>
      <c r="Q25" s="18" t="str">
        <f t="shared" si="18"/>
        <v>-</v>
      </c>
      <c r="R25" s="17" t="s">
        <v>77</v>
      </c>
      <c r="S25" s="18" t="str">
        <f t="shared" si="19"/>
        <v>-</v>
      </c>
      <c r="T25" s="129" t="s">
        <v>77</v>
      </c>
      <c r="U25" s="18" t="str">
        <f t="shared" si="20"/>
        <v>-</v>
      </c>
      <c r="V25" s="128">
        <v>0</v>
      </c>
      <c r="W25" s="128">
        <f t="shared" si="21"/>
        <v>0</v>
      </c>
    </row>
    <row r="26" spans="1:23" ht="20.100000000000001" customHeight="1">
      <c r="A26" s="125" t="s">
        <v>412</v>
      </c>
      <c r="B26" s="17">
        <v>1</v>
      </c>
      <c r="C26" s="18">
        <f t="shared" si="11"/>
        <v>0.26455026455026454</v>
      </c>
      <c r="D26" s="17">
        <v>1</v>
      </c>
      <c r="E26" s="18">
        <f t="shared" si="12"/>
        <v>0.25773195876288657</v>
      </c>
      <c r="F26" s="17">
        <v>1</v>
      </c>
      <c r="G26" s="18">
        <f t="shared" si="13"/>
        <v>0.24449877750611246</v>
      </c>
      <c r="H26" s="17" t="s">
        <v>77</v>
      </c>
      <c r="I26" s="18" t="str">
        <f t="shared" si="14"/>
        <v>-</v>
      </c>
      <c r="J26" s="17">
        <v>2</v>
      </c>
      <c r="K26" s="18">
        <f t="shared" si="15"/>
        <v>0.76628352490421447</v>
      </c>
      <c r="L26" s="17" t="s">
        <v>77</v>
      </c>
      <c r="M26" s="18" t="str">
        <f t="shared" si="16"/>
        <v>-</v>
      </c>
      <c r="N26" s="17" t="s">
        <v>77</v>
      </c>
      <c r="O26" s="18" t="str">
        <f t="shared" si="17"/>
        <v>-</v>
      </c>
      <c r="P26" s="17" t="s">
        <v>77</v>
      </c>
      <c r="Q26" s="18" t="str">
        <f t="shared" si="18"/>
        <v>-</v>
      </c>
      <c r="R26" s="17" t="s">
        <v>77</v>
      </c>
      <c r="S26" s="18" t="str">
        <f t="shared" si="19"/>
        <v>-</v>
      </c>
      <c r="T26" s="129" t="s">
        <v>77</v>
      </c>
      <c r="U26" s="18" t="str">
        <f t="shared" si="20"/>
        <v>-</v>
      </c>
      <c r="V26" s="128">
        <v>0</v>
      </c>
      <c r="W26" s="128">
        <f t="shared" si="21"/>
        <v>0</v>
      </c>
    </row>
    <row r="27" spans="1:23" ht="20.100000000000001" hidden="1" customHeight="1">
      <c r="A27" s="125" t="s">
        <v>413</v>
      </c>
      <c r="B27" s="17">
        <v>1</v>
      </c>
      <c r="C27" s="18">
        <f t="shared" si="11"/>
        <v>0.26455026455026454</v>
      </c>
      <c r="D27" s="17" t="s">
        <v>77</v>
      </c>
      <c r="E27" s="18" t="str">
        <f t="shared" si="12"/>
        <v>-</v>
      </c>
      <c r="F27" s="17" t="s">
        <v>77</v>
      </c>
      <c r="G27" s="18" t="str">
        <f t="shared" si="13"/>
        <v>-</v>
      </c>
      <c r="H27" s="17" t="s">
        <v>77</v>
      </c>
      <c r="I27" s="18" t="str">
        <f t="shared" si="14"/>
        <v>-</v>
      </c>
      <c r="J27" s="17" t="s">
        <v>77</v>
      </c>
      <c r="K27" s="18" t="str">
        <f t="shared" si="15"/>
        <v>-</v>
      </c>
      <c r="L27" s="17" t="s">
        <v>77</v>
      </c>
      <c r="M27" s="18" t="str">
        <f t="shared" si="16"/>
        <v>-</v>
      </c>
      <c r="N27" s="17" t="s">
        <v>77</v>
      </c>
      <c r="O27" s="18" t="str">
        <f t="shared" si="17"/>
        <v>-</v>
      </c>
      <c r="P27" s="17" t="s">
        <v>77</v>
      </c>
      <c r="Q27" s="18" t="str">
        <f t="shared" si="18"/>
        <v>-</v>
      </c>
      <c r="R27" s="17" t="s">
        <v>77</v>
      </c>
      <c r="S27" s="18" t="str">
        <f t="shared" si="19"/>
        <v>-</v>
      </c>
      <c r="T27" s="129" t="s">
        <v>77</v>
      </c>
      <c r="U27" s="18" t="str">
        <f t="shared" si="20"/>
        <v>-</v>
      </c>
      <c r="V27" s="128">
        <v>0</v>
      </c>
      <c r="W27" s="128">
        <f t="shared" si="21"/>
        <v>0</v>
      </c>
    </row>
    <row r="28" spans="1:23" ht="20.100000000000001" customHeight="1">
      <c r="A28" s="125" t="s">
        <v>415</v>
      </c>
      <c r="B28" s="17" t="s">
        <v>77</v>
      </c>
      <c r="C28" s="18" t="str">
        <f t="shared" si="11"/>
        <v>-</v>
      </c>
      <c r="D28" s="17" t="s">
        <v>77</v>
      </c>
      <c r="E28" s="18" t="str">
        <f t="shared" si="12"/>
        <v>-</v>
      </c>
      <c r="F28" s="17" t="s">
        <v>77</v>
      </c>
      <c r="G28" s="18" t="str">
        <f t="shared" si="13"/>
        <v>-</v>
      </c>
      <c r="H28" s="17" t="s">
        <v>77</v>
      </c>
      <c r="I28" s="18" t="str">
        <f t="shared" si="14"/>
        <v>-</v>
      </c>
      <c r="J28" s="17" t="s">
        <v>77</v>
      </c>
      <c r="K28" s="18" t="str">
        <f t="shared" si="15"/>
        <v>-</v>
      </c>
      <c r="L28" s="17" t="s">
        <v>77</v>
      </c>
      <c r="M28" s="18" t="str">
        <f t="shared" si="16"/>
        <v>-</v>
      </c>
      <c r="N28" s="17" t="s">
        <v>77</v>
      </c>
      <c r="O28" s="18" t="str">
        <f t="shared" si="17"/>
        <v>-</v>
      </c>
      <c r="P28" s="17" t="s">
        <v>77</v>
      </c>
      <c r="Q28" s="18" t="str">
        <f t="shared" si="18"/>
        <v>-</v>
      </c>
      <c r="R28" s="17">
        <v>1</v>
      </c>
      <c r="S28" s="18">
        <f t="shared" si="19"/>
        <v>0.33222591362126247</v>
      </c>
      <c r="T28" s="129" t="s">
        <v>77</v>
      </c>
      <c r="U28" s="18" t="str">
        <f t="shared" si="20"/>
        <v>-</v>
      </c>
      <c r="V28" s="128">
        <v>0</v>
      </c>
      <c r="W28" s="128">
        <f t="shared" si="21"/>
        <v>0</v>
      </c>
    </row>
    <row r="29" spans="1:23" ht="20.100000000000001" customHeight="1">
      <c r="A29" s="125" t="s">
        <v>416</v>
      </c>
      <c r="B29" s="17" t="s">
        <v>77</v>
      </c>
      <c r="C29" s="18" t="str">
        <f t="shared" si="11"/>
        <v>-</v>
      </c>
      <c r="D29" s="17">
        <v>1</v>
      </c>
      <c r="E29" s="18">
        <f t="shared" si="12"/>
        <v>0.25773195876288657</v>
      </c>
      <c r="F29" s="17">
        <v>5</v>
      </c>
      <c r="G29" s="18">
        <f t="shared" si="13"/>
        <v>1.2224938875305624</v>
      </c>
      <c r="H29" s="17">
        <v>1</v>
      </c>
      <c r="I29" s="18">
        <f t="shared" si="14"/>
        <v>0.35842293906810035</v>
      </c>
      <c r="J29" s="17" t="s">
        <v>77</v>
      </c>
      <c r="K29" s="18" t="str">
        <f t="shared" si="15"/>
        <v>-</v>
      </c>
      <c r="L29" s="17">
        <v>1</v>
      </c>
      <c r="M29" s="18">
        <f t="shared" si="16"/>
        <v>0.34129692832764508</v>
      </c>
      <c r="N29" s="17" t="s">
        <v>77</v>
      </c>
      <c r="O29" s="18" t="str">
        <f t="shared" si="17"/>
        <v>-</v>
      </c>
      <c r="P29" s="17">
        <v>1</v>
      </c>
      <c r="Q29" s="18">
        <f t="shared" si="18"/>
        <v>0.42372881355932202</v>
      </c>
      <c r="R29" s="17" t="s">
        <v>77</v>
      </c>
      <c r="S29" s="18" t="str">
        <f t="shared" si="19"/>
        <v>-</v>
      </c>
      <c r="T29" s="129" t="s">
        <v>77</v>
      </c>
      <c r="U29" s="18" t="str">
        <f t="shared" si="20"/>
        <v>-</v>
      </c>
      <c r="V29" s="128">
        <v>0</v>
      </c>
      <c r="W29" s="128">
        <f t="shared" si="21"/>
        <v>0</v>
      </c>
    </row>
    <row r="30" spans="1:23" ht="20.100000000000001" customHeight="1">
      <c r="A30" s="125" t="s">
        <v>417</v>
      </c>
      <c r="B30" s="17" t="s">
        <v>77</v>
      </c>
      <c r="C30" s="18" t="str">
        <f t="shared" si="11"/>
        <v>-</v>
      </c>
      <c r="D30" s="17" t="s">
        <v>77</v>
      </c>
      <c r="E30" s="18" t="str">
        <f t="shared" si="12"/>
        <v>-</v>
      </c>
      <c r="F30" s="17" t="s">
        <v>77</v>
      </c>
      <c r="G30" s="18" t="str">
        <f t="shared" si="13"/>
        <v>-</v>
      </c>
      <c r="H30" s="17" t="s">
        <v>77</v>
      </c>
      <c r="I30" s="18" t="str">
        <f t="shared" si="14"/>
        <v>-</v>
      </c>
      <c r="J30" s="17" t="s">
        <v>77</v>
      </c>
      <c r="K30" s="18" t="str">
        <f t="shared" si="15"/>
        <v>-</v>
      </c>
      <c r="L30" s="17" t="s">
        <v>77</v>
      </c>
      <c r="M30" s="18" t="str">
        <f t="shared" si="16"/>
        <v>-</v>
      </c>
      <c r="N30" s="17">
        <v>1</v>
      </c>
      <c r="O30" s="18">
        <f t="shared" si="17"/>
        <v>0.30769230769230771</v>
      </c>
      <c r="P30" s="17" t="s">
        <v>77</v>
      </c>
      <c r="Q30" s="18" t="str">
        <f t="shared" si="18"/>
        <v>-</v>
      </c>
      <c r="R30" s="17" t="s">
        <v>77</v>
      </c>
      <c r="S30" s="18" t="str">
        <f t="shared" si="19"/>
        <v>-</v>
      </c>
      <c r="T30" s="129" t="s">
        <v>77</v>
      </c>
      <c r="U30" s="18" t="str">
        <f t="shared" si="20"/>
        <v>-</v>
      </c>
      <c r="V30" s="128">
        <v>0</v>
      </c>
      <c r="W30" s="128">
        <f t="shared" si="21"/>
        <v>0</v>
      </c>
    </row>
    <row r="31" spans="1:23" ht="20.100000000000001" customHeight="1">
      <c r="A31" s="125" t="s">
        <v>419</v>
      </c>
      <c r="B31" s="17" t="s">
        <v>77</v>
      </c>
      <c r="C31" s="18" t="str">
        <f t="shared" si="11"/>
        <v>-</v>
      </c>
      <c r="D31" s="17">
        <v>2</v>
      </c>
      <c r="E31" s="18">
        <f t="shared" si="12"/>
        <v>0.51546391752577314</v>
      </c>
      <c r="F31" s="17">
        <v>1</v>
      </c>
      <c r="G31" s="18">
        <f t="shared" si="13"/>
        <v>0.24449877750611246</v>
      </c>
      <c r="H31" s="17" t="s">
        <v>77</v>
      </c>
      <c r="I31" s="18" t="str">
        <f t="shared" si="14"/>
        <v>-</v>
      </c>
      <c r="J31" s="17" t="s">
        <v>77</v>
      </c>
      <c r="K31" s="18" t="str">
        <f t="shared" si="15"/>
        <v>-</v>
      </c>
      <c r="L31" s="17" t="s">
        <v>77</v>
      </c>
      <c r="M31" s="18" t="str">
        <f t="shared" si="16"/>
        <v>-</v>
      </c>
      <c r="N31" s="17" t="s">
        <v>77</v>
      </c>
      <c r="O31" s="18" t="str">
        <f t="shared" si="17"/>
        <v>-</v>
      </c>
      <c r="P31" s="17" t="s">
        <v>77</v>
      </c>
      <c r="Q31" s="18" t="str">
        <f t="shared" si="18"/>
        <v>-</v>
      </c>
      <c r="R31" s="17" t="s">
        <v>77</v>
      </c>
      <c r="S31" s="18" t="str">
        <f t="shared" si="19"/>
        <v>-</v>
      </c>
      <c r="T31" s="129" t="s">
        <v>77</v>
      </c>
      <c r="U31" s="18" t="str">
        <f t="shared" si="20"/>
        <v>-</v>
      </c>
      <c r="V31" s="128">
        <v>0</v>
      </c>
      <c r="W31" s="128">
        <f t="shared" si="21"/>
        <v>0</v>
      </c>
    </row>
    <row r="32" spans="1:23" ht="20.100000000000001" customHeight="1">
      <c r="A32" s="130" t="s">
        <v>420</v>
      </c>
      <c r="B32" s="54" t="s">
        <v>77</v>
      </c>
      <c r="C32" s="124" t="str">
        <f t="shared" si="11"/>
        <v>-</v>
      </c>
      <c r="D32" s="54">
        <v>1</v>
      </c>
      <c r="E32" s="124">
        <f t="shared" si="12"/>
        <v>0.25773195876288657</v>
      </c>
      <c r="F32" s="54" t="s">
        <v>77</v>
      </c>
      <c r="G32" s="124" t="str">
        <f t="shared" si="13"/>
        <v>-</v>
      </c>
      <c r="H32" s="54" t="s">
        <v>77</v>
      </c>
      <c r="I32" s="124" t="str">
        <f t="shared" si="14"/>
        <v>-</v>
      </c>
      <c r="J32" s="54" t="s">
        <v>77</v>
      </c>
      <c r="K32" s="124" t="str">
        <f t="shared" si="15"/>
        <v>-</v>
      </c>
      <c r="L32" s="54" t="s">
        <v>77</v>
      </c>
      <c r="M32" s="124" t="str">
        <f t="shared" si="16"/>
        <v>-</v>
      </c>
      <c r="N32" s="54" t="s">
        <v>77</v>
      </c>
      <c r="O32" s="124" t="str">
        <f t="shared" si="17"/>
        <v>-</v>
      </c>
      <c r="P32" s="54" t="s">
        <v>77</v>
      </c>
      <c r="Q32" s="124" t="str">
        <f t="shared" si="18"/>
        <v>-</v>
      </c>
      <c r="R32" s="54" t="s">
        <v>77</v>
      </c>
      <c r="S32" s="124" t="str">
        <f t="shared" si="19"/>
        <v>-</v>
      </c>
      <c r="T32" s="131">
        <v>1</v>
      </c>
      <c r="U32" s="124">
        <f t="shared" si="20"/>
        <v>0.2857142857142857</v>
      </c>
      <c r="V32" s="132">
        <v>0</v>
      </c>
      <c r="W32" s="132">
        <f t="shared" si="21"/>
        <v>0</v>
      </c>
    </row>
    <row r="33" spans="1:23" ht="29.1" customHeight="1">
      <c r="A33" s="440" t="s">
        <v>421</v>
      </c>
      <c r="B33" s="440"/>
      <c r="C33" s="440"/>
      <c r="D33" s="440"/>
      <c r="E33" s="440"/>
      <c r="F33" s="440"/>
      <c r="G33" s="440"/>
      <c r="H33" s="133"/>
      <c r="I33" s="133"/>
      <c r="J33" s="133"/>
      <c r="K33" s="133"/>
      <c r="L33" s="133"/>
      <c r="M33" s="133"/>
      <c r="N33" s="133"/>
      <c r="O33" s="133"/>
      <c r="P33" s="133"/>
      <c r="Q33" s="133"/>
      <c r="R33" s="133"/>
      <c r="S33" s="133"/>
      <c r="T33" s="133"/>
      <c r="U33" s="133"/>
      <c r="V33" s="74"/>
      <c r="W33" s="74"/>
    </row>
    <row r="34" spans="1:23">
      <c r="A34" s="59"/>
      <c r="B34" s="59"/>
      <c r="C34" s="59"/>
      <c r="D34" s="59"/>
      <c r="E34" s="59"/>
      <c r="F34" s="59"/>
      <c r="G34" s="59"/>
      <c r="H34" s="59"/>
      <c r="I34" s="59"/>
      <c r="J34" s="59"/>
      <c r="K34" s="59"/>
      <c r="L34" s="59"/>
      <c r="M34" s="59"/>
      <c r="N34" s="59"/>
      <c r="O34" s="59"/>
      <c r="P34" s="59"/>
      <c r="Q34" s="59"/>
      <c r="R34" s="59"/>
      <c r="S34" s="59"/>
      <c r="T34" s="59"/>
      <c r="U34" s="59"/>
      <c r="V34" s="59"/>
      <c r="W34" s="59"/>
    </row>
  </sheetData>
  <sortState ref="A7:W32">
    <sortCondition descending="1" ref="V7:V32"/>
  </sortState>
  <mergeCells count="13">
    <mergeCell ref="A1:W1"/>
    <mergeCell ref="T2:U2"/>
    <mergeCell ref="V2:W2"/>
    <mergeCell ref="A33:G33"/>
    <mergeCell ref="B2:C2"/>
    <mergeCell ref="D2:E2"/>
    <mergeCell ref="F2:G2"/>
    <mergeCell ref="H2:I2"/>
    <mergeCell ref="J2:K2"/>
    <mergeCell ref="L2:M2"/>
    <mergeCell ref="N2:O2"/>
    <mergeCell ref="P2:Q2"/>
    <mergeCell ref="R2:S2"/>
  </mergeCells>
  <phoneticPr fontId="2" type="noConversion"/>
  <hyperlinks>
    <hyperlink ref="X1" location="本篇表次!A1" display="回本篇表次"/>
  </hyperlinks>
  <printOptions horizontalCentered="1" verticalCentered="1"/>
  <pageMargins left="0.70866141732283472" right="0.70866141732283472" top="0.74803149606299213" bottom="0.74803149606299213" header="0.31496062992125984" footer="0.31496062992125984"/>
  <pageSetup paperSize="9" scale="68"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17"/>
  <sheetViews>
    <sheetView showGridLines="0" zoomScaleNormal="100" workbookViewId="0">
      <pane xSplit="1" topLeftCell="B1" activePane="topRight" state="frozen"/>
      <selection pane="topRight" activeCell="L1" sqref="L1"/>
    </sheetView>
  </sheetViews>
  <sheetFormatPr defaultColWidth="11" defaultRowHeight="16.5"/>
  <cols>
    <col min="1" max="1" width="19" customWidth="1"/>
    <col min="2" max="11" width="9" customWidth="1"/>
    <col min="12" max="12" width="12.625" bestFit="1" customWidth="1"/>
  </cols>
  <sheetData>
    <row r="1" spans="1:12" ht="21.95" customHeight="1">
      <c r="A1" s="470" t="s">
        <v>422</v>
      </c>
      <c r="B1" s="470"/>
      <c r="C1" s="470"/>
      <c r="D1" s="470"/>
      <c r="E1" s="470"/>
      <c r="F1" s="470"/>
      <c r="G1" s="470"/>
      <c r="H1" s="470"/>
      <c r="I1" s="470"/>
      <c r="J1" s="470"/>
      <c r="K1" s="470"/>
      <c r="L1" s="348" t="s">
        <v>644</v>
      </c>
    </row>
    <row r="2" spans="1:12" s="134" customFormat="1" ht="20.100000000000001" customHeight="1">
      <c r="A2" s="232"/>
      <c r="B2" s="378" t="s">
        <v>49</v>
      </c>
      <c r="C2" s="378"/>
      <c r="D2" s="378" t="s">
        <v>50</v>
      </c>
      <c r="E2" s="452"/>
      <c r="F2" s="378" t="s">
        <v>51</v>
      </c>
      <c r="G2" s="452"/>
      <c r="H2" s="378" t="s">
        <v>52</v>
      </c>
      <c r="I2" s="378"/>
      <c r="J2" s="450" t="s">
        <v>53</v>
      </c>
      <c r="K2" s="450"/>
    </row>
    <row r="3" spans="1:12" s="134" customFormat="1" ht="20.100000000000001" customHeight="1">
      <c r="A3" s="233"/>
      <c r="B3" s="230" t="s">
        <v>122</v>
      </c>
      <c r="C3" s="230" t="s">
        <v>106</v>
      </c>
      <c r="D3" s="230" t="s">
        <v>122</v>
      </c>
      <c r="E3" s="230" t="s">
        <v>106</v>
      </c>
      <c r="F3" s="230" t="s">
        <v>122</v>
      </c>
      <c r="G3" s="230" t="s">
        <v>106</v>
      </c>
      <c r="H3" s="230" t="s">
        <v>122</v>
      </c>
      <c r="I3" s="230" t="s">
        <v>106</v>
      </c>
      <c r="J3" s="230" t="s">
        <v>122</v>
      </c>
      <c r="K3" s="230" t="s">
        <v>106</v>
      </c>
    </row>
    <row r="4" spans="1:12" ht="20.100000000000001" customHeight="1">
      <c r="A4" s="237" t="s">
        <v>423</v>
      </c>
      <c r="B4" s="238">
        <f t="shared" ref="B4:K4" si="0">SUM(B5:B8)</f>
        <v>388</v>
      </c>
      <c r="C4" s="239">
        <f t="shared" si="0"/>
        <v>100</v>
      </c>
      <c r="D4" s="238">
        <f t="shared" si="0"/>
        <v>409</v>
      </c>
      <c r="E4" s="239">
        <f t="shared" si="0"/>
        <v>100</v>
      </c>
      <c r="F4" s="238">
        <f t="shared" si="0"/>
        <v>279</v>
      </c>
      <c r="G4" s="239">
        <f t="shared" si="0"/>
        <v>100</v>
      </c>
      <c r="H4" s="238">
        <f t="shared" si="0"/>
        <v>261</v>
      </c>
      <c r="I4" s="239">
        <f t="shared" si="0"/>
        <v>100</v>
      </c>
      <c r="J4" s="238">
        <f t="shared" si="0"/>
        <v>293</v>
      </c>
      <c r="K4" s="239">
        <f t="shared" si="0"/>
        <v>100</v>
      </c>
    </row>
    <row r="5" spans="1:12" ht="20.100000000000001" customHeight="1">
      <c r="A5" s="237" t="s">
        <v>274</v>
      </c>
      <c r="B5" s="136">
        <v>29</v>
      </c>
      <c r="C5" s="137">
        <f>B5/B$4*100</f>
        <v>7.4742268041237114</v>
      </c>
      <c r="D5" s="136">
        <v>39</v>
      </c>
      <c r="E5" s="137">
        <f>D5/D$4*100</f>
        <v>9.5354523227383865</v>
      </c>
      <c r="F5" s="136">
        <v>24</v>
      </c>
      <c r="G5" s="137">
        <f>F5/F$4*100</f>
        <v>8.6021505376344098</v>
      </c>
      <c r="H5" s="136">
        <v>14</v>
      </c>
      <c r="I5" s="137">
        <f>H5/H$4*100</f>
        <v>5.3639846743295019</v>
      </c>
      <c r="J5" s="136">
        <v>13</v>
      </c>
      <c r="K5" s="137">
        <f>J5/J$4*100</f>
        <v>4.4368600682593859</v>
      </c>
    </row>
    <row r="6" spans="1:12" ht="20.100000000000001" customHeight="1">
      <c r="A6" s="237" t="s">
        <v>275</v>
      </c>
      <c r="B6" s="136">
        <v>58</v>
      </c>
      <c r="C6" s="137">
        <f t="shared" ref="C6:C8" si="1">B6/B$4*100</f>
        <v>14.948453608247423</v>
      </c>
      <c r="D6" s="136">
        <v>62</v>
      </c>
      <c r="E6" s="137">
        <f t="shared" ref="E6:E8" si="2">D6/D$4*100</f>
        <v>15.158924205378973</v>
      </c>
      <c r="F6" s="136">
        <v>35</v>
      </c>
      <c r="G6" s="137">
        <f t="shared" ref="G6:G8" si="3">F6/F$4*100</f>
        <v>12.544802867383511</v>
      </c>
      <c r="H6" s="136">
        <v>25</v>
      </c>
      <c r="I6" s="137">
        <f t="shared" ref="I6:I8" si="4">H6/H$4*100</f>
        <v>9.5785440613026829</v>
      </c>
      <c r="J6" s="136">
        <v>37</v>
      </c>
      <c r="K6" s="137">
        <f t="shared" ref="K6:K8" si="5">J6/J$4*100</f>
        <v>12.627986348122866</v>
      </c>
    </row>
    <row r="7" spans="1:12" ht="20.100000000000001" customHeight="1">
      <c r="A7" s="237" t="s">
        <v>276</v>
      </c>
      <c r="B7" s="136">
        <v>102</v>
      </c>
      <c r="C7" s="137">
        <f t="shared" si="1"/>
        <v>26.288659793814436</v>
      </c>
      <c r="D7" s="136">
        <v>120</v>
      </c>
      <c r="E7" s="137">
        <f t="shared" si="2"/>
        <v>29.339853300733498</v>
      </c>
      <c r="F7" s="136">
        <v>68</v>
      </c>
      <c r="G7" s="137">
        <f t="shared" si="3"/>
        <v>24.372759856630825</v>
      </c>
      <c r="H7" s="136">
        <v>63</v>
      </c>
      <c r="I7" s="137">
        <f t="shared" si="4"/>
        <v>24.137931034482758</v>
      </c>
      <c r="J7" s="136">
        <v>85</v>
      </c>
      <c r="K7" s="137">
        <f t="shared" si="5"/>
        <v>29.010238907849828</v>
      </c>
    </row>
    <row r="8" spans="1:12" ht="20.100000000000001" customHeight="1" thickBot="1">
      <c r="A8" s="40" t="s">
        <v>277</v>
      </c>
      <c r="B8" s="138">
        <v>199</v>
      </c>
      <c r="C8" s="139">
        <f t="shared" si="1"/>
        <v>51.288659793814432</v>
      </c>
      <c r="D8" s="138">
        <v>188</v>
      </c>
      <c r="E8" s="139">
        <f t="shared" si="2"/>
        <v>45.965770171149146</v>
      </c>
      <c r="F8" s="138">
        <v>152</v>
      </c>
      <c r="G8" s="139">
        <f t="shared" si="3"/>
        <v>54.480286738351261</v>
      </c>
      <c r="H8" s="138">
        <v>159</v>
      </c>
      <c r="I8" s="139">
        <f t="shared" si="4"/>
        <v>60.919540229885058</v>
      </c>
      <c r="J8" s="138">
        <v>158</v>
      </c>
      <c r="K8" s="139">
        <f t="shared" si="5"/>
        <v>53.924914675767923</v>
      </c>
    </row>
    <row r="9" spans="1:12" s="134" customFormat="1" ht="20.100000000000001" customHeight="1">
      <c r="A9" s="233"/>
      <c r="B9" s="450" t="s">
        <v>54</v>
      </c>
      <c r="C9" s="451"/>
      <c r="D9" s="450" t="s">
        <v>55</v>
      </c>
      <c r="E9" s="450"/>
      <c r="F9" s="450" t="s">
        <v>56</v>
      </c>
      <c r="G9" s="451"/>
      <c r="H9" s="450" t="s">
        <v>123</v>
      </c>
      <c r="I9" s="450"/>
      <c r="J9" s="450" t="s">
        <v>119</v>
      </c>
      <c r="K9" s="451"/>
    </row>
    <row r="10" spans="1:12" s="134" customFormat="1" ht="20.100000000000001" customHeight="1">
      <c r="A10" s="233"/>
      <c r="B10" s="230" t="s">
        <v>122</v>
      </c>
      <c r="C10" s="230" t="s">
        <v>106</v>
      </c>
      <c r="D10" s="230" t="s">
        <v>122</v>
      </c>
      <c r="E10" s="230" t="s">
        <v>106</v>
      </c>
      <c r="F10" s="230" t="s">
        <v>122</v>
      </c>
      <c r="G10" s="230" t="s">
        <v>106</v>
      </c>
      <c r="H10" s="230" t="s">
        <v>122</v>
      </c>
      <c r="I10" s="230" t="s">
        <v>106</v>
      </c>
      <c r="J10" s="230" t="s">
        <v>122</v>
      </c>
      <c r="K10" s="230" t="s">
        <v>106</v>
      </c>
    </row>
    <row r="11" spans="1:12" s="135" customFormat="1" ht="20.100000000000001" customHeight="1">
      <c r="A11" s="237" t="s">
        <v>423</v>
      </c>
      <c r="B11" s="12">
        <f t="shared" ref="B11:K11" si="6">SUM(B12:B15)</f>
        <v>325</v>
      </c>
      <c r="C11" s="33">
        <f t="shared" si="6"/>
        <v>100</v>
      </c>
      <c r="D11" s="12">
        <f t="shared" si="6"/>
        <v>236</v>
      </c>
      <c r="E11" s="33">
        <f t="shared" si="6"/>
        <v>100</v>
      </c>
      <c r="F11" s="12">
        <f t="shared" si="6"/>
        <v>301</v>
      </c>
      <c r="G11" s="33">
        <f t="shared" si="6"/>
        <v>100</v>
      </c>
      <c r="H11" s="12">
        <f t="shared" si="6"/>
        <v>350</v>
      </c>
      <c r="I11" s="33">
        <f t="shared" si="6"/>
        <v>100</v>
      </c>
      <c r="J11" s="238">
        <f t="shared" si="6"/>
        <v>381</v>
      </c>
      <c r="K11" s="239">
        <f t="shared" si="6"/>
        <v>100</v>
      </c>
    </row>
    <row r="12" spans="1:12" s="135" customFormat="1" ht="20.100000000000001" customHeight="1">
      <c r="A12" s="237" t="s">
        <v>274</v>
      </c>
      <c r="B12" s="6">
        <v>19</v>
      </c>
      <c r="C12" s="39">
        <f>B12/B$11*100</f>
        <v>5.8461538461538458</v>
      </c>
      <c r="D12" s="6">
        <v>21</v>
      </c>
      <c r="E12" s="39">
        <f>D12/D$11*100</f>
        <v>8.898305084745763</v>
      </c>
      <c r="F12" s="6">
        <f>20+1</f>
        <v>21</v>
      </c>
      <c r="G12" s="39">
        <f>F12/F$11*100</f>
        <v>6.9767441860465116</v>
      </c>
      <c r="H12" s="6">
        <v>39</v>
      </c>
      <c r="I12" s="39">
        <f>H12/H$11*100</f>
        <v>11.142857142857142</v>
      </c>
      <c r="J12" s="136">
        <v>54</v>
      </c>
      <c r="K12" s="137">
        <f>J12/J$11*100</f>
        <v>14.173228346456693</v>
      </c>
    </row>
    <row r="13" spans="1:12" s="135" customFormat="1" ht="20.100000000000001" customHeight="1">
      <c r="A13" s="237" t="s">
        <v>275</v>
      </c>
      <c r="B13" s="6">
        <v>54</v>
      </c>
      <c r="C13" s="39">
        <f t="shared" ref="C13:C15" si="7">B13/B$11*100</f>
        <v>16.615384615384617</v>
      </c>
      <c r="D13" s="6">
        <v>31</v>
      </c>
      <c r="E13" s="39">
        <f t="shared" ref="E13:E15" si="8">D13/D$11*100</f>
        <v>13.135593220338984</v>
      </c>
      <c r="F13" s="6">
        <f>48+4</f>
        <v>52</v>
      </c>
      <c r="G13" s="39">
        <f t="shared" ref="G13:G15" si="9">F13/F$11*100</f>
        <v>17.275747508305646</v>
      </c>
      <c r="H13" s="6">
        <v>71</v>
      </c>
      <c r="I13" s="39">
        <f t="shared" ref="I13:I15" si="10">H13/H$11*100</f>
        <v>20.285714285714285</v>
      </c>
      <c r="J13" s="136">
        <v>68</v>
      </c>
      <c r="K13" s="137">
        <f t="shared" ref="K13:K15" si="11">J13/J$11*100</f>
        <v>17.84776902887139</v>
      </c>
    </row>
    <row r="14" spans="1:12" s="135" customFormat="1" ht="20.100000000000001" customHeight="1">
      <c r="A14" s="237" t="s">
        <v>276</v>
      </c>
      <c r="B14" s="6">
        <v>95</v>
      </c>
      <c r="C14" s="39">
        <f t="shared" si="7"/>
        <v>29.230769230769234</v>
      </c>
      <c r="D14" s="6">
        <v>65</v>
      </c>
      <c r="E14" s="39">
        <f t="shared" si="8"/>
        <v>27.542372881355931</v>
      </c>
      <c r="F14" s="6">
        <f>62+2</f>
        <v>64</v>
      </c>
      <c r="G14" s="39">
        <f t="shared" si="9"/>
        <v>21.262458471760798</v>
      </c>
      <c r="H14" s="6">
        <v>108</v>
      </c>
      <c r="I14" s="39">
        <f t="shared" si="10"/>
        <v>30.857142857142854</v>
      </c>
      <c r="J14" s="136">
        <v>98</v>
      </c>
      <c r="K14" s="137">
        <f t="shared" si="11"/>
        <v>25.72178477690289</v>
      </c>
    </row>
    <row r="15" spans="1:12" s="135" customFormat="1" ht="20.100000000000001" customHeight="1">
      <c r="A15" s="38" t="s">
        <v>277</v>
      </c>
      <c r="B15" s="8">
        <v>157</v>
      </c>
      <c r="C15" s="52">
        <f t="shared" si="7"/>
        <v>48.307692307692307</v>
      </c>
      <c r="D15" s="8">
        <v>119</v>
      </c>
      <c r="E15" s="52">
        <f t="shared" si="8"/>
        <v>50.423728813559322</v>
      </c>
      <c r="F15" s="8">
        <f>154+10</f>
        <v>164</v>
      </c>
      <c r="G15" s="52">
        <f t="shared" si="9"/>
        <v>54.485049833887047</v>
      </c>
      <c r="H15" s="8">
        <v>132</v>
      </c>
      <c r="I15" s="52">
        <f t="shared" si="10"/>
        <v>37.714285714285715</v>
      </c>
      <c r="J15" s="8">
        <v>161</v>
      </c>
      <c r="K15" s="52">
        <f t="shared" si="11"/>
        <v>42.257217847769027</v>
      </c>
    </row>
    <row r="16" spans="1:12">
      <c r="A16" s="74" t="s">
        <v>124</v>
      </c>
      <c r="B16" s="74"/>
      <c r="C16" s="59"/>
      <c r="D16" s="59"/>
      <c r="E16" s="59"/>
      <c r="F16" s="59"/>
      <c r="G16" s="59"/>
      <c r="H16" s="96"/>
      <c r="I16" s="87"/>
      <c r="J16" s="59"/>
      <c r="K16" s="87"/>
    </row>
    <row r="17" spans="1:11">
      <c r="A17" s="465" t="s">
        <v>125</v>
      </c>
      <c r="B17" s="465"/>
      <c r="C17" s="465"/>
      <c r="D17" s="465"/>
      <c r="E17" s="465"/>
      <c r="F17" s="465"/>
      <c r="G17" s="14"/>
      <c r="H17" s="14"/>
      <c r="I17" s="14"/>
      <c r="J17" s="14"/>
      <c r="K17" s="14"/>
    </row>
  </sheetData>
  <mergeCells count="12">
    <mergeCell ref="A17:F17"/>
    <mergeCell ref="A1:K1"/>
    <mergeCell ref="B2:C2"/>
    <mergeCell ref="D2:E2"/>
    <mergeCell ref="F2:G2"/>
    <mergeCell ref="H2:I2"/>
    <mergeCell ref="J2:K2"/>
    <mergeCell ref="B9:C9"/>
    <mergeCell ref="D9:E9"/>
    <mergeCell ref="F9:G9"/>
    <mergeCell ref="H9:I9"/>
    <mergeCell ref="J9:K9"/>
  </mergeCells>
  <phoneticPr fontId="2" type="noConversion"/>
  <hyperlinks>
    <hyperlink ref="L1" location="本篇表次!A1" display="回本篇表次"/>
  </hyperlinks>
  <printOptions horizontalCentered="1" verticalCentered="1"/>
  <pageMargins left="0.70866141732283472" right="0.70866141732283472" top="0.74803149606299213" bottom="0.74803149606299213" header="0.31496062992125984" footer="0.31496062992125984"/>
  <pageSetup paperSize="224" scale="89" orientation="landscape" r:id="rId1"/>
  <ignoredErrors>
    <ignoredError sqref="F12:F15" formula="1"/>
  </ignoredError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21"/>
  <sheetViews>
    <sheetView showGridLines="0" zoomScaleNormal="100" workbookViewId="0">
      <selection activeCell="L1" sqref="L1"/>
    </sheetView>
  </sheetViews>
  <sheetFormatPr defaultColWidth="11" defaultRowHeight="16.5"/>
  <cols>
    <col min="1" max="1" width="23.375" customWidth="1"/>
    <col min="2" max="11" width="9" customWidth="1"/>
    <col min="12" max="12" width="12.625" bestFit="1" customWidth="1"/>
  </cols>
  <sheetData>
    <row r="1" spans="1:12" ht="21" customHeight="1">
      <c r="A1" s="373" t="s">
        <v>651</v>
      </c>
      <c r="B1" s="373"/>
      <c r="C1" s="373"/>
      <c r="D1" s="373"/>
      <c r="E1" s="373"/>
      <c r="F1" s="373"/>
      <c r="G1" s="373"/>
      <c r="H1" s="373"/>
      <c r="I1" s="373"/>
      <c r="J1" s="373"/>
      <c r="K1" s="373"/>
      <c r="L1" s="348" t="s">
        <v>644</v>
      </c>
    </row>
    <row r="2" spans="1:12" ht="18.95" customHeight="1">
      <c r="A2" s="463"/>
      <c r="B2" s="471" t="s">
        <v>0</v>
      </c>
      <c r="C2" s="378"/>
      <c r="D2" s="472" t="s">
        <v>274</v>
      </c>
      <c r="E2" s="472"/>
      <c r="F2" s="472" t="s">
        <v>275</v>
      </c>
      <c r="G2" s="472"/>
      <c r="H2" s="472" t="s">
        <v>276</v>
      </c>
      <c r="I2" s="472"/>
      <c r="J2" s="472" t="s">
        <v>277</v>
      </c>
      <c r="K2" s="472"/>
    </row>
    <row r="3" spans="1:12" ht="18.95" customHeight="1">
      <c r="A3" s="464"/>
      <c r="B3" s="230" t="s">
        <v>122</v>
      </c>
      <c r="C3" s="230" t="s">
        <v>106</v>
      </c>
      <c r="D3" s="230" t="s">
        <v>122</v>
      </c>
      <c r="E3" s="230" t="s">
        <v>106</v>
      </c>
      <c r="F3" s="230" t="s">
        <v>122</v>
      </c>
      <c r="G3" s="230" t="s">
        <v>106</v>
      </c>
      <c r="H3" s="230" t="s">
        <v>122</v>
      </c>
      <c r="I3" s="230" t="s">
        <v>106</v>
      </c>
      <c r="J3" s="230" t="s">
        <v>122</v>
      </c>
      <c r="K3" s="230" t="s">
        <v>106</v>
      </c>
    </row>
    <row r="4" spans="1:12" ht="18.95" customHeight="1">
      <c r="A4" s="231" t="s">
        <v>65</v>
      </c>
      <c r="B4" s="12">
        <f>SUM(D4,F4,H4,J4)</f>
        <v>381</v>
      </c>
      <c r="C4" s="33">
        <f>SUM(B5,B6)/B$4*100</f>
        <v>100</v>
      </c>
      <c r="D4" s="12">
        <f>SUM(D5,D6)</f>
        <v>54</v>
      </c>
      <c r="E4" s="33">
        <f>SUM(D7:D19)/D$4*100</f>
        <v>100</v>
      </c>
      <c r="F4" s="12">
        <f>SUM(F5,F6)</f>
        <v>68</v>
      </c>
      <c r="G4" s="33">
        <f>SUM(F7:F19)/F$4*100</f>
        <v>100</v>
      </c>
      <c r="H4" s="12">
        <f>SUM(H5,H6)</f>
        <v>98</v>
      </c>
      <c r="I4" s="33">
        <f>SUM(H7:H19)/H$4*100</f>
        <v>100</v>
      </c>
      <c r="J4" s="12">
        <f>SUM(J5,J6)</f>
        <v>161</v>
      </c>
      <c r="K4" s="33">
        <f>SUM(J7:J19)/J$4*100</f>
        <v>100</v>
      </c>
    </row>
    <row r="5" spans="1:12" ht="18.95" customHeight="1">
      <c r="A5" s="60" t="s">
        <v>269</v>
      </c>
      <c r="B5" s="6">
        <v>354</v>
      </c>
      <c r="C5" s="39">
        <f>IFERROR(B5/B$4*100,"-")</f>
        <v>92.913385826771659</v>
      </c>
      <c r="D5" s="6">
        <v>50</v>
      </c>
      <c r="E5" s="39">
        <f>IFERROR(D5/D$4*100,"-")</f>
        <v>92.592592592592595</v>
      </c>
      <c r="F5" s="6">
        <v>62</v>
      </c>
      <c r="G5" s="39">
        <f>IFERROR(F5/F$4*100,"-")</f>
        <v>91.17647058823529</v>
      </c>
      <c r="H5" s="6">
        <v>90</v>
      </c>
      <c r="I5" s="39">
        <f>IFERROR(H5/H$4*100,"-")</f>
        <v>91.83673469387756</v>
      </c>
      <c r="J5" s="6">
        <v>152</v>
      </c>
      <c r="K5" s="39">
        <f>IFERROR(J5/J$4*100,"-")</f>
        <v>94.409937888198755</v>
      </c>
    </row>
    <row r="6" spans="1:12" ht="18.95" customHeight="1">
      <c r="A6" s="62" t="s">
        <v>270</v>
      </c>
      <c r="B6" s="8">
        <v>27</v>
      </c>
      <c r="C6" s="52">
        <f t="shared" ref="C6:E6" si="0">IFERROR(B6/B$4*100,"-")</f>
        <v>7.0866141732283463</v>
      </c>
      <c r="D6" s="8">
        <v>4</v>
      </c>
      <c r="E6" s="52">
        <f t="shared" si="0"/>
        <v>7.4074074074074066</v>
      </c>
      <c r="F6" s="8">
        <v>6</v>
      </c>
      <c r="G6" s="52">
        <f t="shared" ref="G6" si="1">IFERROR(F6/F$4*100,"-")</f>
        <v>8.8235294117647065</v>
      </c>
      <c r="H6" s="8">
        <v>8</v>
      </c>
      <c r="I6" s="52">
        <f t="shared" ref="I6" si="2">IFERROR(H6/H$4*100,"-")</f>
        <v>8.1632653061224492</v>
      </c>
      <c r="J6" s="8">
        <v>9</v>
      </c>
      <c r="K6" s="52">
        <f t="shared" ref="K6" si="3">IFERROR(J6/J$4*100,"-")</f>
        <v>5.5900621118012426</v>
      </c>
    </row>
    <row r="7" spans="1:12" ht="18" customHeight="1">
      <c r="A7" s="27" t="s">
        <v>232</v>
      </c>
      <c r="B7" s="6">
        <v>236</v>
      </c>
      <c r="C7" s="39">
        <f t="shared" ref="C7:C19" si="4">IFERROR(B7/B$4*100,"-")</f>
        <v>61.942257217847775</v>
      </c>
      <c r="D7" s="6">
        <v>28</v>
      </c>
      <c r="E7" s="39">
        <f t="shared" ref="E7:E12" si="5">IFERROR(D7/D$4*100,"-")</f>
        <v>51.851851851851848</v>
      </c>
      <c r="F7" s="6">
        <v>43</v>
      </c>
      <c r="G7" s="39">
        <f>IFERROR(F7/F$4*100,"-")</f>
        <v>63.235294117647058</v>
      </c>
      <c r="H7" s="6">
        <v>64</v>
      </c>
      <c r="I7" s="39">
        <f t="shared" ref="I7:I13" si="6">IFERROR(H7/H$4*100,"-")</f>
        <v>65.306122448979593</v>
      </c>
      <c r="J7" s="6">
        <v>101</v>
      </c>
      <c r="K7" s="39">
        <f t="shared" ref="K7:K19" si="7">IFERROR(J7/J$4*100,"-")</f>
        <v>62.732919254658384</v>
      </c>
    </row>
    <row r="8" spans="1:12" ht="18.95" customHeight="1">
      <c r="A8" s="27" t="s">
        <v>227</v>
      </c>
      <c r="B8" s="6">
        <f t="shared" ref="B8:B19" si="8">SUM(D8,F8,H8,J8)</f>
        <v>33</v>
      </c>
      <c r="C8" s="39">
        <f t="shared" si="4"/>
        <v>8.6614173228346463</v>
      </c>
      <c r="D8" s="6">
        <v>8</v>
      </c>
      <c r="E8" s="39">
        <f t="shared" si="5"/>
        <v>14.814814814814813</v>
      </c>
      <c r="F8" s="6">
        <v>7</v>
      </c>
      <c r="G8" s="39">
        <f>IFERROR(F8/F$4*100,"-")</f>
        <v>10.294117647058822</v>
      </c>
      <c r="H8" s="6">
        <v>7</v>
      </c>
      <c r="I8" s="39">
        <f t="shared" si="6"/>
        <v>7.1428571428571423</v>
      </c>
      <c r="J8" s="6">
        <v>11</v>
      </c>
      <c r="K8" s="39">
        <f t="shared" si="7"/>
        <v>6.8322981366459627</v>
      </c>
    </row>
    <row r="9" spans="1:12" ht="18.95" customHeight="1">
      <c r="A9" s="27" t="s">
        <v>223</v>
      </c>
      <c r="B9" s="6">
        <f t="shared" si="8"/>
        <v>24</v>
      </c>
      <c r="C9" s="39">
        <f t="shared" si="4"/>
        <v>6.2992125984251963</v>
      </c>
      <c r="D9" s="6">
        <v>3</v>
      </c>
      <c r="E9" s="39">
        <f t="shared" si="5"/>
        <v>5.5555555555555554</v>
      </c>
      <c r="F9" s="6">
        <v>2</v>
      </c>
      <c r="G9" s="39">
        <f>IFERROR(F9/F$4*100,"-")</f>
        <v>2.9411764705882351</v>
      </c>
      <c r="H9" s="6">
        <v>8</v>
      </c>
      <c r="I9" s="39">
        <f t="shared" si="6"/>
        <v>8.1632653061224492</v>
      </c>
      <c r="J9" s="6">
        <v>11</v>
      </c>
      <c r="K9" s="39">
        <f t="shared" si="7"/>
        <v>6.8322981366459627</v>
      </c>
    </row>
    <row r="10" spans="1:12" ht="18.95" customHeight="1">
      <c r="A10" s="98" t="s">
        <v>637</v>
      </c>
      <c r="B10" s="6">
        <f t="shared" si="8"/>
        <v>23</v>
      </c>
      <c r="C10" s="39">
        <f t="shared" si="4"/>
        <v>6.0367454068241466</v>
      </c>
      <c r="D10" s="6">
        <v>4</v>
      </c>
      <c r="E10" s="39">
        <f t="shared" si="5"/>
        <v>7.4074074074074066</v>
      </c>
      <c r="F10" s="6">
        <v>5</v>
      </c>
      <c r="G10" s="39">
        <f>IFERROR(F10/F$4*100,"-")</f>
        <v>7.3529411764705888</v>
      </c>
      <c r="H10" s="6">
        <v>6</v>
      </c>
      <c r="I10" s="39">
        <f t="shared" si="6"/>
        <v>6.1224489795918364</v>
      </c>
      <c r="J10" s="6">
        <v>8</v>
      </c>
      <c r="K10" s="39">
        <f t="shared" si="7"/>
        <v>4.9689440993788816</v>
      </c>
    </row>
    <row r="11" spans="1:12" ht="18.95" customHeight="1">
      <c r="A11" s="27" t="s">
        <v>429</v>
      </c>
      <c r="B11" s="6">
        <f t="shared" si="8"/>
        <v>22</v>
      </c>
      <c r="C11" s="39">
        <f t="shared" si="4"/>
        <v>5.7742782152230969</v>
      </c>
      <c r="D11" s="6">
        <v>6</v>
      </c>
      <c r="E11" s="39">
        <f t="shared" si="5"/>
        <v>11.111111111111111</v>
      </c>
      <c r="F11" s="6">
        <v>4</v>
      </c>
      <c r="G11" s="39">
        <f>IFERROR(F11/F$4*100,"-")</f>
        <v>5.8823529411764701</v>
      </c>
      <c r="H11" s="6">
        <v>4</v>
      </c>
      <c r="I11" s="39">
        <f t="shared" si="6"/>
        <v>4.0816326530612246</v>
      </c>
      <c r="J11" s="6">
        <v>8</v>
      </c>
      <c r="K11" s="39">
        <f t="shared" si="7"/>
        <v>4.9689440993788816</v>
      </c>
    </row>
    <row r="12" spans="1:12" ht="18.95" customHeight="1">
      <c r="A12" s="27" t="s">
        <v>224</v>
      </c>
      <c r="B12" s="6">
        <f t="shared" si="8"/>
        <v>13</v>
      </c>
      <c r="C12" s="39">
        <f t="shared" si="4"/>
        <v>3.4120734908136483</v>
      </c>
      <c r="D12" s="6">
        <v>1</v>
      </c>
      <c r="E12" s="39">
        <f t="shared" si="5"/>
        <v>1.8518518518518516</v>
      </c>
      <c r="F12" s="6">
        <v>0</v>
      </c>
      <c r="G12" s="6">
        <v>0</v>
      </c>
      <c r="H12" s="6">
        <v>4</v>
      </c>
      <c r="I12" s="39">
        <f t="shared" si="6"/>
        <v>4.0816326530612246</v>
      </c>
      <c r="J12" s="6">
        <v>8</v>
      </c>
      <c r="K12" s="39">
        <f t="shared" si="7"/>
        <v>4.9689440993788816</v>
      </c>
    </row>
    <row r="13" spans="1:12" ht="18.95" customHeight="1">
      <c r="A13" s="141" t="s">
        <v>237</v>
      </c>
      <c r="B13" s="6">
        <f t="shared" si="8"/>
        <v>10</v>
      </c>
      <c r="C13" s="39">
        <f t="shared" si="4"/>
        <v>2.6246719160104988</v>
      </c>
      <c r="D13" s="6">
        <v>0</v>
      </c>
      <c r="E13" s="6">
        <v>0</v>
      </c>
      <c r="F13" s="6">
        <v>3</v>
      </c>
      <c r="G13" s="39">
        <f>IFERROR(F13/F$4*100,"-")</f>
        <v>4.4117647058823533</v>
      </c>
      <c r="H13" s="6">
        <v>2</v>
      </c>
      <c r="I13" s="39">
        <f t="shared" si="6"/>
        <v>2.0408163265306123</v>
      </c>
      <c r="J13" s="6">
        <v>5</v>
      </c>
      <c r="K13" s="39">
        <f t="shared" si="7"/>
        <v>3.1055900621118013</v>
      </c>
    </row>
    <row r="14" spans="1:12" ht="18.95" customHeight="1">
      <c r="A14" s="27" t="s">
        <v>246</v>
      </c>
      <c r="B14" s="6">
        <f t="shared" si="8"/>
        <v>7</v>
      </c>
      <c r="C14" s="39">
        <f t="shared" si="4"/>
        <v>1.837270341207349</v>
      </c>
      <c r="D14" s="6">
        <v>2</v>
      </c>
      <c r="E14" s="39">
        <f>IFERROR(D14/D$4*100,"-")</f>
        <v>3.7037037037037033</v>
      </c>
      <c r="F14" s="6">
        <v>2</v>
      </c>
      <c r="G14" s="39">
        <f>IFERROR(F14/F$4*100,"-")</f>
        <v>2.9411764705882351</v>
      </c>
      <c r="H14" s="6">
        <v>0</v>
      </c>
      <c r="I14" s="6">
        <v>0</v>
      </c>
      <c r="J14" s="6">
        <v>3</v>
      </c>
      <c r="K14" s="39">
        <f t="shared" si="7"/>
        <v>1.8633540372670807</v>
      </c>
    </row>
    <row r="15" spans="1:12" ht="18.95" customHeight="1">
      <c r="A15" s="27" t="s">
        <v>225</v>
      </c>
      <c r="B15" s="6">
        <f t="shared" si="8"/>
        <v>5</v>
      </c>
      <c r="C15" s="39">
        <f t="shared" si="4"/>
        <v>1.3123359580052494</v>
      </c>
      <c r="D15" s="6">
        <v>2</v>
      </c>
      <c r="E15" s="39">
        <f>IFERROR(D15/D$4*100,"-")</f>
        <v>3.7037037037037033</v>
      </c>
      <c r="F15" s="6">
        <v>1</v>
      </c>
      <c r="G15" s="39">
        <f>IFERROR(F15/F$4*100,"-")</f>
        <v>1.4705882352941175</v>
      </c>
      <c r="H15" s="6">
        <v>1</v>
      </c>
      <c r="I15" s="39">
        <f>IFERROR(H15/H$4*100,"-")</f>
        <v>1.0204081632653061</v>
      </c>
      <c r="J15" s="6">
        <v>1</v>
      </c>
      <c r="K15" s="39">
        <f t="shared" si="7"/>
        <v>0.6211180124223602</v>
      </c>
    </row>
    <row r="16" spans="1:12" ht="18.95" customHeight="1">
      <c r="A16" s="27" t="s">
        <v>236</v>
      </c>
      <c r="B16" s="6">
        <f t="shared" si="8"/>
        <v>4</v>
      </c>
      <c r="C16" s="39">
        <f t="shared" si="4"/>
        <v>1.0498687664041995</v>
      </c>
      <c r="D16" s="6">
        <v>0</v>
      </c>
      <c r="E16" s="6">
        <v>0</v>
      </c>
      <c r="F16" s="6">
        <v>0</v>
      </c>
      <c r="G16" s="6">
        <v>0</v>
      </c>
      <c r="H16" s="6">
        <v>2</v>
      </c>
      <c r="I16" s="39">
        <f>IFERROR(H16/H$4*100,"-")</f>
        <v>2.0408163265306123</v>
      </c>
      <c r="J16" s="6">
        <v>2</v>
      </c>
      <c r="K16" s="39">
        <f t="shared" si="7"/>
        <v>1.2422360248447204</v>
      </c>
    </row>
    <row r="17" spans="1:11" ht="18.95" customHeight="1">
      <c r="A17" s="97" t="s">
        <v>418</v>
      </c>
      <c r="B17" s="6">
        <f t="shared" si="8"/>
        <v>2</v>
      </c>
      <c r="C17" s="39">
        <f t="shared" si="4"/>
        <v>0.52493438320209973</v>
      </c>
      <c r="D17" s="6">
        <v>0</v>
      </c>
      <c r="E17" s="6">
        <v>0</v>
      </c>
      <c r="F17" s="6">
        <v>1</v>
      </c>
      <c r="G17" s="39">
        <f>IFERROR(F17/F$4*100,"-")</f>
        <v>1.4705882352941175</v>
      </c>
      <c r="H17" s="6">
        <v>0</v>
      </c>
      <c r="I17" s="6">
        <v>0</v>
      </c>
      <c r="J17" s="6">
        <v>1</v>
      </c>
      <c r="K17" s="39">
        <f t="shared" si="7"/>
        <v>0.6211180124223602</v>
      </c>
    </row>
    <row r="18" spans="1:11" ht="18.95" customHeight="1">
      <c r="A18" s="27" t="s">
        <v>228</v>
      </c>
      <c r="B18" s="6">
        <f t="shared" si="8"/>
        <v>1</v>
      </c>
      <c r="C18" s="39">
        <f t="shared" si="4"/>
        <v>0.26246719160104987</v>
      </c>
      <c r="D18" s="6">
        <v>0</v>
      </c>
      <c r="E18" s="6">
        <v>0</v>
      </c>
      <c r="F18" s="6">
        <v>0</v>
      </c>
      <c r="G18" s="6">
        <v>0</v>
      </c>
      <c r="H18" s="6">
        <v>0</v>
      </c>
      <c r="I18" s="6">
        <v>0</v>
      </c>
      <c r="J18" s="6">
        <v>1</v>
      </c>
      <c r="K18" s="39">
        <f t="shared" si="7"/>
        <v>0.6211180124223602</v>
      </c>
    </row>
    <row r="19" spans="1:11" ht="18.95" customHeight="1">
      <c r="A19" s="240" t="s">
        <v>431</v>
      </c>
      <c r="B19" s="8">
        <f t="shared" si="8"/>
        <v>1</v>
      </c>
      <c r="C19" s="52">
        <f t="shared" si="4"/>
        <v>0.26246719160104987</v>
      </c>
      <c r="D19" s="8">
        <v>0</v>
      </c>
      <c r="E19" s="8">
        <v>0</v>
      </c>
      <c r="F19" s="8">
        <v>0</v>
      </c>
      <c r="G19" s="8">
        <v>0</v>
      </c>
      <c r="H19" s="8">
        <v>0</v>
      </c>
      <c r="I19" s="8">
        <v>0</v>
      </c>
      <c r="J19" s="8">
        <v>1</v>
      </c>
      <c r="K19" s="52">
        <f t="shared" si="7"/>
        <v>0.6211180124223602</v>
      </c>
    </row>
    <row r="20" spans="1:11">
      <c r="A20" s="447" t="s">
        <v>124</v>
      </c>
      <c r="B20" s="447"/>
      <c r="C20" s="448"/>
      <c r="D20" s="447"/>
      <c r="E20" s="447"/>
      <c r="F20" s="447"/>
      <c r="G20" s="447"/>
      <c r="H20" s="447"/>
      <c r="I20" s="447"/>
      <c r="J20" s="447"/>
      <c r="K20" s="447"/>
    </row>
    <row r="21" spans="1:11">
      <c r="A21" s="465" t="s">
        <v>125</v>
      </c>
      <c r="B21" s="465"/>
      <c r="C21" s="465"/>
      <c r="D21" s="465"/>
      <c r="E21" s="465"/>
      <c r="F21" s="465"/>
      <c r="G21" s="465"/>
      <c r="H21" s="465"/>
      <c r="I21" s="465"/>
      <c r="J21" s="465"/>
      <c r="K21" s="465"/>
    </row>
  </sheetData>
  <sortState ref="A7:K19">
    <sortCondition descending="1" ref="B7:B19"/>
  </sortState>
  <mergeCells count="9">
    <mergeCell ref="A21:K21"/>
    <mergeCell ref="A20:K20"/>
    <mergeCell ref="A1:K1"/>
    <mergeCell ref="A2:A3"/>
    <mergeCell ref="B2:C2"/>
    <mergeCell ref="D2:E2"/>
    <mergeCell ref="F2:G2"/>
    <mergeCell ref="H2:I2"/>
    <mergeCell ref="J2:K2"/>
  </mergeCells>
  <phoneticPr fontId="2" type="noConversion"/>
  <hyperlinks>
    <hyperlink ref="L1" location="本篇表次!A1" display="回本篇表次"/>
  </hyperlinks>
  <printOptions horizontalCentered="1" verticalCentered="1"/>
  <pageMargins left="0.70866141732283472" right="0.70866141732283472" top="0.74803149606299213" bottom="0.74803149606299213" header="0.31496062992125984" footer="0.31496062992125984"/>
  <pageSetup paperSize="224" scale="8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S31"/>
  <sheetViews>
    <sheetView showGridLines="0" zoomScale="90" zoomScaleNormal="90" workbookViewId="0"/>
  </sheetViews>
  <sheetFormatPr defaultRowHeight="15.75"/>
  <cols>
    <col min="1" max="1" width="5.625" style="43" customWidth="1"/>
    <col min="2" max="3" width="9" style="43" customWidth="1"/>
    <col min="4" max="15" width="9" style="43"/>
    <col min="16" max="16" width="4.375" style="43" customWidth="1"/>
    <col min="17" max="17" width="4" style="43" customWidth="1"/>
    <col min="18" max="18" width="5.625" style="43" customWidth="1"/>
    <col min="19" max="19" width="12.625" style="43" bestFit="1" customWidth="1"/>
    <col min="20" max="16384" width="9" style="43"/>
  </cols>
  <sheetData>
    <row r="1" spans="3:19" ht="16.5" customHeight="1">
      <c r="S1" s="630" t="s">
        <v>644</v>
      </c>
    </row>
    <row r="2" spans="3:19">
      <c r="E2" s="562" t="s">
        <v>713</v>
      </c>
      <c r="F2" s="563"/>
      <c r="G2" s="563"/>
      <c r="H2" s="564"/>
      <c r="J2" s="562" t="s">
        <v>714</v>
      </c>
      <c r="K2" s="563"/>
      <c r="L2" s="563"/>
      <c r="M2" s="564"/>
      <c r="S2" s="630"/>
    </row>
    <row r="3" spans="3:19">
      <c r="E3" s="565"/>
      <c r="F3" s="566"/>
      <c r="G3" s="566"/>
      <c r="H3" s="567"/>
      <c r="J3" s="565"/>
      <c r="K3" s="566"/>
      <c r="L3" s="566"/>
      <c r="M3" s="567"/>
    </row>
    <row r="4" spans="3:19" ht="16.5" customHeight="1">
      <c r="E4" s="568" t="s">
        <v>715</v>
      </c>
      <c r="F4" s="568"/>
      <c r="G4" s="569"/>
      <c r="J4" s="245"/>
      <c r="K4" s="570"/>
      <c r="L4" s="571" t="s">
        <v>716</v>
      </c>
    </row>
    <row r="5" spans="3:19">
      <c r="E5" s="572"/>
      <c r="F5" s="572"/>
      <c r="G5" s="573"/>
      <c r="J5" s="245"/>
      <c r="K5" s="51"/>
      <c r="L5" s="574"/>
    </row>
    <row r="6" spans="3:19" ht="16.5" thickBot="1">
      <c r="E6" s="562" t="s">
        <v>717</v>
      </c>
      <c r="F6" s="564"/>
      <c r="H6" s="562" t="s">
        <v>718</v>
      </c>
      <c r="I6" s="563"/>
      <c r="J6" s="563"/>
      <c r="K6" s="564"/>
    </row>
    <row r="7" spans="3:19">
      <c r="E7" s="565"/>
      <c r="F7" s="567"/>
      <c r="G7" s="575"/>
      <c r="H7" s="565"/>
      <c r="I7" s="566"/>
      <c r="J7" s="566"/>
      <c r="K7" s="567"/>
      <c r="L7" s="576"/>
      <c r="M7" s="577"/>
      <c r="N7" s="577"/>
      <c r="O7" s="577"/>
      <c r="P7" s="577"/>
      <c r="Q7" s="578"/>
    </row>
    <row r="8" spans="3:19">
      <c r="C8" s="245"/>
      <c r="D8" s="245"/>
      <c r="E8" s="579"/>
      <c r="F8" s="579"/>
      <c r="G8" s="245"/>
      <c r="H8" s="580"/>
      <c r="I8" s="563" t="s">
        <v>719</v>
      </c>
      <c r="J8" s="571" t="s">
        <v>720</v>
      </c>
      <c r="K8" s="579"/>
      <c r="Q8" s="581"/>
    </row>
    <row r="9" spans="3:19">
      <c r="C9" s="245"/>
      <c r="D9" s="245"/>
      <c r="E9" s="245"/>
      <c r="F9" s="245"/>
      <c r="G9" s="245"/>
      <c r="H9" s="245"/>
      <c r="I9" s="566"/>
      <c r="J9" s="582"/>
      <c r="Q9" s="581"/>
    </row>
    <row r="10" spans="3:19" ht="41.25" customHeight="1">
      <c r="C10" s="245"/>
      <c r="D10" s="245"/>
      <c r="E10" s="245"/>
      <c r="F10" s="583"/>
      <c r="G10" s="583"/>
      <c r="H10" s="584" t="s">
        <v>721</v>
      </c>
      <c r="I10" s="585"/>
      <c r="J10" s="584" t="s">
        <v>722</v>
      </c>
      <c r="K10" s="487"/>
      <c r="L10" s="487"/>
      <c r="M10" s="586"/>
      <c r="Q10" s="581"/>
    </row>
    <row r="11" spans="3:19" ht="33" customHeight="1" thickBot="1">
      <c r="C11" s="245"/>
      <c r="D11" s="245"/>
      <c r="E11" s="245"/>
      <c r="F11" s="583"/>
      <c r="G11" s="583"/>
      <c r="H11" s="587" t="s">
        <v>723</v>
      </c>
      <c r="I11" s="587"/>
      <c r="J11" s="588"/>
      <c r="K11" s="579"/>
      <c r="L11" s="579"/>
      <c r="M11" s="579"/>
      <c r="Q11" s="581"/>
    </row>
    <row r="12" spans="3:19" ht="16.5" customHeight="1">
      <c r="C12" s="245"/>
      <c r="D12" s="245"/>
      <c r="E12" s="245"/>
      <c r="F12" s="589"/>
      <c r="G12" s="589"/>
      <c r="H12" s="590"/>
      <c r="I12" s="591"/>
      <c r="J12" s="590"/>
      <c r="K12" s="592"/>
      <c r="L12" s="578"/>
      <c r="Q12" s="581"/>
    </row>
    <row r="13" spans="3:19" ht="16.5" customHeight="1" thickBot="1">
      <c r="C13" s="245"/>
      <c r="D13" s="245"/>
      <c r="E13" s="245"/>
      <c r="F13" s="593" t="s">
        <v>724</v>
      </c>
      <c r="G13" s="564"/>
      <c r="H13" s="594"/>
      <c r="I13" s="593" t="s">
        <v>725</v>
      </c>
      <c r="J13" s="595"/>
      <c r="K13" s="594"/>
      <c r="L13" s="562" t="s">
        <v>726</v>
      </c>
      <c r="M13" s="564"/>
      <c r="N13" s="596"/>
      <c r="O13" s="597"/>
      <c r="P13" s="597"/>
      <c r="Q13" s="581"/>
    </row>
    <row r="14" spans="3:19" ht="16.5" thickBot="1">
      <c r="C14" s="245"/>
      <c r="D14" s="245"/>
      <c r="E14" s="245"/>
      <c r="F14" s="565"/>
      <c r="G14" s="567"/>
      <c r="I14" s="598"/>
      <c r="J14" s="599"/>
      <c r="L14" s="565"/>
      <c r="M14" s="567"/>
      <c r="N14" s="600"/>
      <c r="O14" s="577"/>
      <c r="P14" s="578"/>
      <c r="Q14" s="581"/>
    </row>
    <row r="15" spans="3:19" ht="23.25" customHeight="1" thickBot="1">
      <c r="C15" s="245"/>
      <c r="D15" s="245"/>
      <c r="E15" s="245"/>
      <c r="F15" s="579"/>
      <c r="G15" s="579"/>
      <c r="I15" s="601"/>
      <c r="J15" s="602" t="s">
        <v>727</v>
      </c>
      <c r="K15" s="603"/>
      <c r="L15" s="579"/>
      <c r="M15" s="579"/>
      <c r="N15" s="245"/>
      <c r="O15" s="573"/>
      <c r="P15" s="581"/>
      <c r="Q15" s="581"/>
    </row>
    <row r="16" spans="3:19">
      <c r="C16" s="245"/>
      <c r="D16" s="245"/>
      <c r="E16" s="604"/>
      <c r="F16" s="577"/>
      <c r="G16" s="577"/>
      <c r="H16" s="577"/>
      <c r="I16" s="578"/>
      <c r="J16" s="605"/>
      <c r="K16" s="606"/>
      <c r="L16" s="577"/>
      <c r="M16" s="578"/>
      <c r="N16" s="607"/>
      <c r="O16" s="607"/>
      <c r="P16" s="581"/>
      <c r="Q16" s="581"/>
    </row>
    <row r="17" spans="1:17" ht="20.100000000000001" customHeight="1">
      <c r="C17" s="245"/>
      <c r="D17" s="593" t="s">
        <v>728</v>
      </c>
      <c r="E17" s="595"/>
      <c r="G17" s="593" t="s">
        <v>729</v>
      </c>
      <c r="H17" s="608"/>
      <c r="I17" s="608"/>
      <c r="J17" s="608"/>
      <c r="K17" s="608"/>
      <c r="L17" s="595"/>
      <c r="N17" s="593" t="s">
        <v>730</v>
      </c>
      <c r="O17" s="564"/>
      <c r="P17" s="581"/>
      <c r="Q17" s="581"/>
    </row>
    <row r="18" spans="1:17" ht="20.100000000000001" customHeight="1">
      <c r="C18" s="245"/>
      <c r="D18" s="598"/>
      <c r="E18" s="599"/>
      <c r="G18" s="598"/>
      <c r="H18" s="572"/>
      <c r="I18" s="572"/>
      <c r="J18" s="572"/>
      <c r="K18" s="572"/>
      <c r="L18" s="599"/>
      <c r="N18" s="565"/>
      <c r="O18" s="567"/>
      <c r="P18" s="581"/>
      <c r="Q18" s="581"/>
    </row>
    <row r="19" spans="1:17" ht="16.5" thickBot="1">
      <c r="C19" s="245"/>
      <c r="D19" s="245"/>
      <c r="E19" s="245"/>
      <c r="G19" s="569"/>
      <c r="P19" s="581"/>
      <c r="Q19" s="581"/>
    </row>
    <row r="20" spans="1:17" ht="16.5" customHeight="1" thickBot="1">
      <c r="C20" s="604"/>
      <c r="D20" s="577"/>
      <c r="E20" s="577"/>
      <c r="F20" s="609"/>
      <c r="G20" s="610"/>
      <c r="I20" s="562" t="s">
        <v>731</v>
      </c>
      <c r="J20" s="564"/>
      <c r="P20" s="581"/>
      <c r="Q20" s="581"/>
    </row>
    <row r="21" spans="1:17" ht="16.5" customHeight="1">
      <c r="B21" s="562" t="s">
        <v>732</v>
      </c>
      <c r="C21" s="564"/>
      <c r="D21" s="245"/>
      <c r="E21" s="593" t="s">
        <v>733</v>
      </c>
      <c r="F21" s="608"/>
      <c r="G21" s="595"/>
      <c r="H21" s="611"/>
      <c r="I21" s="565"/>
      <c r="J21" s="567"/>
      <c r="K21" s="576"/>
      <c r="L21" s="577"/>
      <c r="M21" s="577"/>
      <c r="N21" s="577"/>
      <c r="O21" s="577"/>
      <c r="P21" s="577"/>
      <c r="Q21" s="581"/>
    </row>
    <row r="22" spans="1:17" ht="16.5" customHeight="1" thickBot="1">
      <c r="B22" s="565"/>
      <c r="C22" s="567"/>
      <c r="D22" s="245"/>
      <c r="E22" s="598"/>
      <c r="F22" s="572"/>
      <c r="G22" s="599"/>
      <c r="H22" s="245"/>
      <c r="I22" s="579"/>
      <c r="J22" s="612"/>
      <c r="K22" s="245"/>
      <c r="L22" s="245"/>
      <c r="M22" s="245"/>
      <c r="N22" s="245"/>
      <c r="O22" s="245"/>
      <c r="P22" s="245"/>
      <c r="Q22" s="581"/>
    </row>
    <row r="23" spans="1:17">
      <c r="C23" s="569"/>
      <c r="J23" s="613"/>
      <c r="K23" s="577"/>
      <c r="L23" s="578"/>
      <c r="Q23" s="581"/>
    </row>
    <row r="24" spans="1:17" ht="17.25" customHeight="1" thickBot="1">
      <c r="C24" s="614"/>
      <c r="G24" s="615" t="s">
        <v>734</v>
      </c>
      <c r="H24" s="616"/>
      <c r="I24" s="562" t="s">
        <v>735</v>
      </c>
      <c r="J24" s="564"/>
      <c r="L24" s="562" t="s">
        <v>736</v>
      </c>
      <c r="M24" s="563"/>
      <c r="N24" s="564"/>
      <c r="Q24" s="617"/>
    </row>
    <row r="25" spans="1:17" ht="15.75" customHeight="1" thickBot="1">
      <c r="B25" s="593" t="s">
        <v>737</v>
      </c>
      <c r="C25" s="608"/>
      <c r="D25" s="595"/>
      <c r="E25" s="618" t="s">
        <v>738</v>
      </c>
      <c r="F25" s="619"/>
      <c r="G25" s="615"/>
      <c r="H25" s="616"/>
      <c r="I25" s="565"/>
      <c r="J25" s="567"/>
      <c r="L25" s="565"/>
      <c r="M25" s="566"/>
      <c r="N25" s="567"/>
      <c r="O25" s="576"/>
      <c r="P25" s="577"/>
      <c r="Q25" s="577"/>
    </row>
    <row r="26" spans="1:17" ht="19.5" customHeight="1">
      <c r="B26" s="598"/>
      <c r="C26" s="572"/>
      <c r="D26" s="599"/>
      <c r="E26" s="620"/>
      <c r="F26" s="593" t="s">
        <v>739</v>
      </c>
      <c r="G26" s="595"/>
      <c r="J26" s="621"/>
    </row>
    <row r="27" spans="1:17" ht="16.5" customHeight="1" thickBot="1">
      <c r="F27" s="622"/>
      <c r="G27" s="623"/>
      <c r="I27" s="562" t="s">
        <v>740</v>
      </c>
      <c r="J27" s="564"/>
    </row>
    <row r="28" spans="1:17" ht="15.75" customHeight="1" thickBot="1">
      <c r="B28" s="624" t="s">
        <v>741</v>
      </c>
      <c r="C28" s="587"/>
      <c r="D28" s="625"/>
      <c r="F28" s="622"/>
      <c r="G28" s="623"/>
      <c r="H28" s="620"/>
      <c r="I28" s="565"/>
      <c r="J28" s="567"/>
    </row>
    <row r="29" spans="1:17" ht="15.75" customHeight="1">
      <c r="B29" s="626"/>
      <c r="C29" s="627"/>
      <c r="D29" s="628"/>
      <c r="E29" s="620"/>
      <c r="F29" s="598"/>
      <c r="G29" s="599"/>
    </row>
    <row r="31" spans="1:17" ht="32.25" customHeight="1">
      <c r="A31" s="629" t="s">
        <v>742</v>
      </c>
      <c r="B31" s="629"/>
      <c r="C31" s="629"/>
      <c r="D31" s="629"/>
      <c r="E31" s="629"/>
      <c r="F31" s="629"/>
      <c r="G31" s="629"/>
      <c r="H31" s="629"/>
      <c r="I31" s="629"/>
      <c r="J31" s="629"/>
      <c r="K31" s="629"/>
      <c r="L31" s="629"/>
      <c r="M31" s="629"/>
      <c r="N31" s="629"/>
      <c r="O31" s="629"/>
      <c r="P31" s="629"/>
      <c r="Q31" s="629"/>
    </row>
  </sheetData>
  <mergeCells count="31">
    <mergeCell ref="A31:Q31"/>
    <mergeCell ref="S1:S2"/>
    <mergeCell ref="G24:H25"/>
    <mergeCell ref="I24:J25"/>
    <mergeCell ref="L24:N25"/>
    <mergeCell ref="B25:D26"/>
    <mergeCell ref="E25:F25"/>
    <mergeCell ref="F26:G29"/>
    <mergeCell ref="I27:J28"/>
    <mergeCell ref="B28:D29"/>
    <mergeCell ref="J15:K15"/>
    <mergeCell ref="D17:E18"/>
    <mergeCell ref="G17:L18"/>
    <mergeCell ref="N17:O18"/>
    <mergeCell ref="I20:J21"/>
    <mergeCell ref="B21:C22"/>
    <mergeCell ref="E21:G22"/>
    <mergeCell ref="I8:I9"/>
    <mergeCell ref="J8:J9"/>
    <mergeCell ref="H10:I10"/>
    <mergeCell ref="J10:M10"/>
    <mergeCell ref="H11:I11"/>
    <mergeCell ref="F13:G14"/>
    <mergeCell ref="I13:J14"/>
    <mergeCell ref="L13:M14"/>
    <mergeCell ref="E2:H3"/>
    <mergeCell ref="J2:M3"/>
    <mergeCell ref="E4:F5"/>
    <mergeCell ref="L4:L5"/>
    <mergeCell ref="E6:F7"/>
    <mergeCell ref="H6:K7"/>
  </mergeCells>
  <phoneticPr fontId="2" type="noConversion"/>
  <hyperlinks>
    <hyperlink ref="S1" location="本篇表次!A1" display="回本篇表次"/>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26"/>
  <sheetViews>
    <sheetView showGridLines="0" zoomScaleNormal="100" workbookViewId="0">
      <pane xSplit="1" topLeftCell="B1" activePane="topRight" state="frozen"/>
      <selection pane="topRight" activeCell="L1" sqref="L1"/>
    </sheetView>
  </sheetViews>
  <sheetFormatPr defaultColWidth="8.625" defaultRowHeight="16.5"/>
  <cols>
    <col min="1" max="1" width="26.875" customWidth="1"/>
    <col min="12" max="12" width="12.625" bestFit="1" customWidth="1"/>
  </cols>
  <sheetData>
    <row r="1" spans="1:12" ht="20.25">
      <c r="A1" s="407" t="s">
        <v>652</v>
      </c>
      <c r="B1" s="407"/>
      <c r="C1" s="407"/>
      <c r="D1" s="407"/>
      <c r="E1" s="407"/>
      <c r="F1" s="407"/>
      <c r="G1" s="407"/>
      <c r="H1" s="407"/>
      <c r="I1" s="407"/>
      <c r="J1" s="407"/>
      <c r="K1" s="407"/>
      <c r="L1" s="348" t="s">
        <v>644</v>
      </c>
    </row>
    <row r="2" spans="1:12" ht="20.100000000000001" customHeight="1">
      <c r="A2" s="142"/>
      <c r="B2" s="378" t="s">
        <v>49</v>
      </c>
      <c r="C2" s="378"/>
      <c r="D2" s="378" t="s">
        <v>50</v>
      </c>
      <c r="E2" s="378"/>
      <c r="F2" s="378" t="s">
        <v>51</v>
      </c>
      <c r="G2" s="378"/>
      <c r="H2" s="378" t="s">
        <v>424</v>
      </c>
      <c r="I2" s="378"/>
      <c r="J2" s="378" t="s">
        <v>53</v>
      </c>
      <c r="K2" s="378"/>
    </row>
    <row r="3" spans="1:12" ht="20.100000000000001" customHeight="1">
      <c r="A3" s="65"/>
      <c r="B3" s="10" t="s">
        <v>122</v>
      </c>
      <c r="C3" s="10" t="s">
        <v>106</v>
      </c>
      <c r="D3" s="10" t="s">
        <v>122</v>
      </c>
      <c r="E3" s="10" t="s">
        <v>106</v>
      </c>
      <c r="F3" s="10" t="s">
        <v>122</v>
      </c>
      <c r="G3" s="10" t="s">
        <v>106</v>
      </c>
      <c r="H3" s="10" t="s">
        <v>122</v>
      </c>
      <c r="I3" s="10" t="s">
        <v>106</v>
      </c>
      <c r="J3" s="10" t="s">
        <v>122</v>
      </c>
      <c r="K3" s="10" t="s">
        <v>106</v>
      </c>
    </row>
    <row r="4" spans="1:12" ht="20.100000000000001" customHeight="1">
      <c r="A4" s="27" t="s">
        <v>65</v>
      </c>
      <c r="B4" s="68">
        <f t="shared" ref="B4:K4" si="0">SUM(B5:B12)</f>
        <v>388</v>
      </c>
      <c r="C4" s="22">
        <f t="shared" si="0"/>
        <v>100</v>
      </c>
      <c r="D4" s="68">
        <f t="shared" si="0"/>
        <v>409</v>
      </c>
      <c r="E4" s="22">
        <f t="shared" si="0"/>
        <v>100</v>
      </c>
      <c r="F4" s="68">
        <f t="shared" si="0"/>
        <v>279</v>
      </c>
      <c r="G4" s="22">
        <f t="shared" si="0"/>
        <v>100</v>
      </c>
      <c r="H4" s="68">
        <f t="shared" si="0"/>
        <v>261</v>
      </c>
      <c r="I4" s="67">
        <f t="shared" si="0"/>
        <v>100</v>
      </c>
      <c r="J4" s="66">
        <f t="shared" si="0"/>
        <v>293</v>
      </c>
      <c r="K4" s="67">
        <f t="shared" si="0"/>
        <v>100</v>
      </c>
    </row>
    <row r="5" spans="1:12" ht="20.100000000000001" customHeight="1">
      <c r="A5" s="27" t="s">
        <v>432</v>
      </c>
      <c r="B5" s="68">
        <v>224</v>
      </c>
      <c r="C5" s="22">
        <f t="shared" ref="C5:C12" si="1">IFERROR(B5/B$4*100,"-")</f>
        <v>57.731958762886592</v>
      </c>
      <c r="D5" s="68">
        <v>242</v>
      </c>
      <c r="E5" s="22">
        <f t="shared" ref="E5:E12" si="2">IFERROR(D5/D$4*100,"-")</f>
        <v>59.168704156479215</v>
      </c>
      <c r="F5" s="68">
        <v>167</v>
      </c>
      <c r="G5" s="22">
        <f t="shared" ref="G5:G12" si="3">IFERROR(F5/F$4*100,"-")</f>
        <v>59.856630824372758</v>
      </c>
      <c r="H5" s="68">
        <v>176</v>
      </c>
      <c r="I5" s="22">
        <f t="shared" ref="I5:I12" si="4">IFERROR(H5/H$4*100,"-")</f>
        <v>67.432950191570882</v>
      </c>
      <c r="J5" s="68">
        <v>198</v>
      </c>
      <c r="K5" s="22">
        <f t="shared" ref="K5:K12" si="5">IFERROR(J5/J$4*100,"-")</f>
        <v>67.576791808873722</v>
      </c>
    </row>
    <row r="6" spans="1:12" ht="20.100000000000001" customHeight="1">
      <c r="A6" s="27" t="s">
        <v>433</v>
      </c>
      <c r="B6" s="68">
        <v>80</v>
      </c>
      <c r="C6" s="22">
        <f t="shared" si="1"/>
        <v>20.618556701030926</v>
      </c>
      <c r="D6" s="68">
        <v>95</v>
      </c>
      <c r="E6" s="22">
        <f t="shared" si="2"/>
        <v>23.227383863080682</v>
      </c>
      <c r="F6" s="68">
        <v>63</v>
      </c>
      <c r="G6" s="22">
        <f t="shared" si="3"/>
        <v>22.58064516129032</v>
      </c>
      <c r="H6" s="68">
        <v>42</v>
      </c>
      <c r="I6" s="22">
        <f t="shared" si="4"/>
        <v>16.091954022988507</v>
      </c>
      <c r="J6" s="68">
        <v>53</v>
      </c>
      <c r="K6" s="22">
        <f t="shared" si="5"/>
        <v>18.088737201365188</v>
      </c>
    </row>
    <row r="7" spans="1:12" ht="20.100000000000001" customHeight="1">
      <c r="A7" s="27" t="s">
        <v>434</v>
      </c>
      <c r="B7" s="68">
        <v>76</v>
      </c>
      <c r="C7" s="22">
        <f t="shared" si="1"/>
        <v>19.587628865979383</v>
      </c>
      <c r="D7" s="68">
        <v>63</v>
      </c>
      <c r="E7" s="22">
        <f t="shared" si="2"/>
        <v>15.403422982885084</v>
      </c>
      <c r="F7" s="68">
        <v>43</v>
      </c>
      <c r="G7" s="22">
        <f t="shared" si="3"/>
        <v>15.412186379928317</v>
      </c>
      <c r="H7" s="68">
        <v>34</v>
      </c>
      <c r="I7" s="22">
        <f t="shared" si="4"/>
        <v>13.026819923371647</v>
      </c>
      <c r="J7" s="68">
        <v>37</v>
      </c>
      <c r="K7" s="22">
        <f t="shared" si="5"/>
        <v>12.627986348122866</v>
      </c>
    </row>
    <row r="8" spans="1:12" s="236" customFormat="1" ht="20.100000000000001" customHeight="1">
      <c r="A8" s="98" t="s">
        <v>638</v>
      </c>
      <c r="B8" s="68">
        <v>1</v>
      </c>
      <c r="C8" s="22">
        <v>0.25773195876288657</v>
      </c>
      <c r="D8" s="68" t="s">
        <v>77</v>
      </c>
      <c r="E8" s="243" t="s">
        <v>77</v>
      </c>
      <c r="F8" s="68" t="s">
        <v>77</v>
      </c>
      <c r="G8" s="243" t="s">
        <v>77</v>
      </c>
      <c r="H8" s="68" t="s">
        <v>77</v>
      </c>
      <c r="I8" s="243" t="s">
        <v>77</v>
      </c>
      <c r="J8" s="68" t="s">
        <v>77</v>
      </c>
      <c r="K8" s="243" t="s">
        <v>77</v>
      </c>
    </row>
    <row r="9" spans="1:12" s="236" customFormat="1" ht="20.100000000000001" customHeight="1">
      <c r="A9" s="98" t="s">
        <v>639</v>
      </c>
      <c r="B9" s="68" t="s">
        <v>77</v>
      </c>
      <c r="C9" s="243" t="s">
        <v>77</v>
      </c>
      <c r="D9" s="68">
        <v>2</v>
      </c>
      <c r="E9" s="22">
        <v>0.48899755501222492</v>
      </c>
      <c r="F9" s="68">
        <v>1</v>
      </c>
      <c r="G9" s="22">
        <v>0.35842293906810035</v>
      </c>
      <c r="H9" s="68">
        <v>1</v>
      </c>
      <c r="I9" s="22">
        <v>0.38314176245210724</v>
      </c>
      <c r="J9" s="68" t="s">
        <v>77</v>
      </c>
      <c r="K9" s="69" t="s">
        <v>77</v>
      </c>
    </row>
    <row r="10" spans="1:12" ht="20.100000000000001" customHeight="1">
      <c r="A10" s="27" t="s">
        <v>435</v>
      </c>
      <c r="B10" s="68">
        <v>2</v>
      </c>
      <c r="C10" s="22">
        <f>IFERROR(B10/B$4*100,"-")</f>
        <v>0.51546391752577314</v>
      </c>
      <c r="D10" s="68" t="s">
        <v>77</v>
      </c>
      <c r="E10" s="69" t="str">
        <f>IFERROR(D10/D$4*100,"-")</f>
        <v>-</v>
      </c>
      <c r="F10" s="68">
        <v>1</v>
      </c>
      <c r="G10" s="22">
        <f>IFERROR(F10/F$4*100,"-")</f>
        <v>0.35842293906810035</v>
      </c>
      <c r="H10" s="68">
        <v>5</v>
      </c>
      <c r="I10" s="22">
        <f>IFERROR(H10/H$4*100,"-")</f>
        <v>1.9157088122605364</v>
      </c>
      <c r="J10" s="68">
        <v>2</v>
      </c>
      <c r="K10" s="22">
        <f>IFERROR(J10/J$4*100,"-")</f>
        <v>0.68259385665529015</v>
      </c>
    </row>
    <row r="11" spans="1:12" ht="20.100000000000001" customHeight="1">
      <c r="A11" s="105" t="s">
        <v>218</v>
      </c>
      <c r="B11" s="68">
        <v>5</v>
      </c>
      <c r="C11" s="22">
        <f t="shared" si="1"/>
        <v>1.2886597938144329</v>
      </c>
      <c r="D11" s="68">
        <v>7</v>
      </c>
      <c r="E11" s="22">
        <f t="shared" si="2"/>
        <v>1.7114914425427872</v>
      </c>
      <c r="F11" s="68">
        <v>4</v>
      </c>
      <c r="G11" s="22">
        <f t="shared" si="3"/>
        <v>1.4336917562724014</v>
      </c>
      <c r="H11" s="68">
        <v>3</v>
      </c>
      <c r="I11" s="22">
        <f t="shared" si="4"/>
        <v>1.1494252873563218</v>
      </c>
      <c r="J11" s="68">
        <v>3</v>
      </c>
      <c r="K11" s="22">
        <f t="shared" si="5"/>
        <v>1.0238907849829351</v>
      </c>
    </row>
    <row r="12" spans="1:12" ht="20.100000000000001" customHeight="1" thickBot="1">
      <c r="A12" s="27" t="s">
        <v>436</v>
      </c>
      <c r="B12" s="68" t="s">
        <v>77</v>
      </c>
      <c r="C12" s="69" t="str">
        <f t="shared" si="1"/>
        <v>-</v>
      </c>
      <c r="D12" s="68" t="s">
        <v>77</v>
      </c>
      <c r="E12" s="69" t="str">
        <f t="shared" si="2"/>
        <v>-</v>
      </c>
      <c r="F12" s="68" t="s">
        <v>77</v>
      </c>
      <c r="G12" s="69" t="str">
        <f t="shared" si="3"/>
        <v>-</v>
      </c>
      <c r="H12" s="68" t="s">
        <v>77</v>
      </c>
      <c r="I12" s="69" t="str">
        <f t="shared" si="4"/>
        <v>-</v>
      </c>
      <c r="J12" s="68" t="s">
        <v>77</v>
      </c>
      <c r="K12" s="69" t="str">
        <f t="shared" si="5"/>
        <v>-</v>
      </c>
    </row>
    <row r="13" spans="1:12" ht="20.100000000000001" customHeight="1">
      <c r="A13" s="143"/>
      <c r="B13" s="449" t="s">
        <v>54</v>
      </c>
      <c r="C13" s="449"/>
      <c r="D13" s="449" t="s">
        <v>55</v>
      </c>
      <c r="E13" s="449"/>
      <c r="F13" s="449" t="s">
        <v>56</v>
      </c>
      <c r="G13" s="449"/>
      <c r="H13" s="449" t="s">
        <v>439</v>
      </c>
      <c r="I13" s="449"/>
      <c r="J13" s="449" t="s">
        <v>442</v>
      </c>
      <c r="K13" s="449"/>
    </row>
    <row r="14" spans="1:12" ht="20.100000000000001" customHeight="1">
      <c r="A14" s="144"/>
      <c r="B14" s="10" t="s">
        <v>122</v>
      </c>
      <c r="C14" s="10" t="s">
        <v>106</v>
      </c>
      <c r="D14" s="10" t="s">
        <v>122</v>
      </c>
      <c r="E14" s="10" t="s">
        <v>106</v>
      </c>
      <c r="F14" s="10" t="s">
        <v>122</v>
      </c>
      <c r="G14" s="10" t="s">
        <v>106</v>
      </c>
      <c r="H14" s="10" t="s">
        <v>122</v>
      </c>
      <c r="I14" s="10" t="s">
        <v>106</v>
      </c>
      <c r="J14" s="10" t="s">
        <v>122</v>
      </c>
      <c r="K14" s="10" t="s">
        <v>106</v>
      </c>
    </row>
    <row r="15" spans="1:12" ht="20.100000000000001" customHeight="1">
      <c r="A15" s="27" t="s">
        <v>65</v>
      </c>
      <c r="B15" s="66">
        <f t="shared" ref="B15:K15" si="6">SUM(B16:B23)</f>
        <v>325</v>
      </c>
      <c r="C15" s="67">
        <f t="shared" si="6"/>
        <v>100.00000000000001</v>
      </c>
      <c r="D15" s="66">
        <f t="shared" si="6"/>
        <v>236</v>
      </c>
      <c r="E15" s="67">
        <f t="shared" si="6"/>
        <v>99.999999999999986</v>
      </c>
      <c r="F15" s="66">
        <f t="shared" si="6"/>
        <v>301</v>
      </c>
      <c r="G15" s="67">
        <f t="shared" si="6"/>
        <v>100</v>
      </c>
      <c r="H15" s="66">
        <f t="shared" si="6"/>
        <v>350</v>
      </c>
      <c r="I15" s="67">
        <f t="shared" si="6"/>
        <v>99.999999999999986</v>
      </c>
      <c r="J15" s="68">
        <f t="shared" si="6"/>
        <v>381</v>
      </c>
      <c r="K15" s="76">
        <f t="shared" si="6"/>
        <v>100</v>
      </c>
    </row>
    <row r="16" spans="1:12" ht="20.100000000000001" customHeight="1">
      <c r="A16" s="27" t="s">
        <v>432</v>
      </c>
      <c r="B16" s="68">
        <v>187</v>
      </c>
      <c r="C16" s="22">
        <f t="shared" ref="C16:C23" si="7">IFERROR(B16/B$15*100,"-")</f>
        <v>57.53846153846154</v>
      </c>
      <c r="D16" s="68">
        <v>149</v>
      </c>
      <c r="E16" s="22">
        <f t="shared" ref="E16:E23" si="8">IFERROR(D16/D$15*100,"-")</f>
        <v>63.135593220338983</v>
      </c>
      <c r="F16" s="68">
        <f>83+132</f>
        <v>215</v>
      </c>
      <c r="G16" s="22">
        <f t="shared" ref="G16:G23" si="9">IFERROR(F16/F$15*100,"-")</f>
        <v>71.428571428571431</v>
      </c>
      <c r="H16" s="68">
        <v>220</v>
      </c>
      <c r="I16" s="22">
        <f t="shared" ref="I16:I23" si="10">IFERROR(H16/H$15*100,"-")</f>
        <v>62.857142857142854</v>
      </c>
      <c r="J16" s="43">
        <v>234</v>
      </c>
      <c r="K16" s="146">
        <f t="shared" ref="K16:K23" si="11">IFERROR(J16/J$15*100,"-")</f>
        <v>61.417322834645674</v>
      </c>
    </row>
    <row r="17" spans="1:11" ht="20.100000000000001" customHeight="1">
      <c r="A17" s="27" t="s">
        <v>433</v>
      </c>
      <c r="B17" s="68">
        <v>70</v>
      </c>
      <c r="C17" s="22">
        <f t="shared" si="7"/>
        <v>21.53846153846154</v>
      </c>
      <c r="D17" s="68">
        <v>47</v>
      </c>
      <c r="E17" s="22">
        <f t="shared" si="8"/>
        <v>19.915254237288135</v>
      </c>
      <c r="F17" s="68">
        <v>53</v>
      </c>
      <c r="G17" s="22">
        <f t="shared" si="9"/>
        <v>17.607973421926911</v>
      </c>
      <c r="H17" s="68">
        <v>94</v>
      </c>
      <c r="I17" s="22">
        <f t="shared" si="10"/>
        <v>26.857142857142858</v>
      </c>
      <c r="J17" s="43">
        <v>106</v>
      </c>
      <c r="K17" s="146">
        <f t="shared" si="11"/>
        <v>27.821522309711288</v>
      </c>
    </row>
    <row r="18" spans="1:11" ht="20.100000000000001" customHeight="1">
      <c r="A18" s="27" t="s">
        <v>434</v>
      </c>
      <c r="B18" s="68">
        <v>58</v>
      </c>
      <c r="C18" s="22">
        <f t="shared" si="7"/>
        <v>17.846153846153847</v>
      </c>
      <c r="D18" s="68">
        <v>35</v>
      </c>
      <c r="E18" s="22">
        <f t="shared" si="8"/>
        <v>14.83050847457627</v>
      </c>
      <c r="F18" s="68">
        <v>26</v>
      </c>
      <c r="G18" s="22">
        <f t="shared" si="9"/>
        <v>8.6378737541528228</v>
      </c>
      <c r="H18" s="68">
        <v>32</v>
      </c>
      <c r="I18" s="22">
        <f t="shared" si="10"/>
        <v>9.1428571428571423</v>
      </c>
      <c r="J18" s="43">
        <v>33</v>
      </c>
      <c r="K18" s="146">
        <f t="shared" si="11"/>
        <v>8.6614173228346463</v>
      </c>
    </row>
    <row r="19" spans="1:11" ht="20.100000000000001" customHeight="1">
      <c r="A19" s="237" t="s">
        <v>438</v>
      </c>
      <c r="B19" s="242" t="s">
        <v>77</v>
      </c>
      <c r="C19" s="243" t="str">
        <f t="shared" si="7"/>
        <v>-</v>
      </c>
      <c r="D19" s="242">
        <v>1</v>
      </c>
      <c r="E19" s="244">
        <f t="shared" si="8"/>
        <v>0.42372881355932202</v>
      </c>
      <c r="F19" s="242" t="s">
        <v>80</v>
      </c>
      <c r="G19" s="243" t="str">
        <f t="shared" si="9"/>
        <v>-</v>
      </c>
      <c r="H19" s="242" t="s">
        <v>280</v>
      </c>
      <c r="I19" s="243" t="str">
        <f t="shared" si="10"/>
        <v>-</v>
      </c>
      <c r="J19" s="245">
        <v>3</v>
      </c>
      <c r="K19" s="246">
        <f t="shared" si="11"/>
        <v>0.78740157480314954</v>
      </c>
    </row>
    <row r="20" spans="1:11" ht="20.100000000000001" customHeight="1">
      <c r="A20" s="27" t="s">
        <v>437</v>
      </c>
      <c r="B20" s="68">
        <v>1</v>
      </c>
      <c r="C20" s="22">
        <f t="shared" si="7"/>
        <v>0.30769230769230771</v>
      </c>
      <c r="D20" s="68" t="s">
        <v>165</v>
      </c>
      <c r="E20" s="69" t="str">
        <f t="shared" si="8"/>
        <v>-</v>
      </c>
      <c r="F20" s="68" t="s">
        <v>80</v>
      </c>
      <c r="G20" s="69" t="str">
        <f t="shared" si="9"/>
        <v>-</v>
      </c>
      <c r="H20" s="68" t="s">
        <v>280</v>
      </c>
      <c r="I20" s="69" t="str">
        <f t="shared" si="10"/>
        <v>-</v>
      </c>
      <c r="J20" s="43">
        <v>2</v>
      </c>
      <c r="K20" s="146">
        <f t="shared" si="11"/>
        <v>0.52493438320209973</v>
      </c>
    </row>
    <row r="21" spans="1:11" ht="20.100000000000001" customHeight="1">
      <c r="A21" s="27" t="s">
        <v>435</v>
      </c>
      <c r="B21" s="68">
        <v>2</v>
      </c>
      <c r="C21" s="22">
        <f t="shared" si="7"/>
        <v>0.61538461538461542</v>
      </c>
      <c r="D21" s="68">
        <v>3</v>
      </c>
      <c r="E21" s="22">
        <f t="shared" si="8"/>
        <v>1.2711864406779663</v>
      </c>
      <c r="F21" s="68">
        <f>2+1</f>
        <v>3</v>
      </c>
      <c r="G21" s="22">
        <f t="shared" si="9"/>
        <v>0.99667774086378735</v>
      </c>
      <c r="H21" s="68">
        <v>2</v>
      </c>
      <c r="I21" s="22">
        <f t="shared" si="10"/>
        <v>0.5714285714285714</v>
      </c>
      <c r="J21" s="43">
        <v>2</v>
      </c>
      <c r="K21" s="146">
        <f t="shared" si="11"/>
        <v>0.52493438320209973</v>
      </c>
    </row>
    <row r="22" spans="1:11" ht="20.100000000000001" customHeight="1">
      <c r="A22" s="105" t="s">
        <v>218</v>
      </c>
      <c r="B22" s="68">
        <v>7</v>
      </c>
      <c r="C22" s="22">
        <f t="shared" si="7"/>
        <v>2.1538461538461537</v>
      </c>
      <c r="D22" s="68">
        <v>1</v>
      </c>
      <c r="E22" s="22">
        <f t="shared" si="8"/>
        <v>0.42372881355932202</v>
      </c>
      <c r="F22" s="68">
        <v>4</v>
      </c>
      <c r="G22" s="22">
        <f t="shared" si="9"/>
        <v>1.3289036544850499</v>
      </c>
      <c r="H22" s="68">
        <v>2</v>
      </c>
      <c r="I22" s="22">
        <f t="shared" si="10"/>
        <v>0.5714285714285714</v>
      </c>
      <c r="J22" s="43">
        <v>1</v>
      </c>
      <c r="K22" s="146">
        <f t="shared" si="11"/>
        <v>0.26246719160104987</v>
      </c>
    </row>
    <row r="23" spans="1:11" ht="20.100000000000001" customHeight="1">
      <c r="A23" s="38" t="s">
        <v>436</v>
      </c>
      <c r="B23" s="72" t="s">
        <v>77</v>
      </c>
      <c r="C23" s="73" t="str">
        <f t="shared" si="7"/>
        <v>-</v>
      </c>
      <c r="D23" s="72" t="s">
        <v>77</v>
      </c>
      <c r="E23" s="73" t="str">
        <f t="shared" si="8"/>
        <v>-</v>
      </c>
      <c r="F23" s="72" t="s">
        <v>80</v>
      </c>
      <c r="G23" s="73" t="str">
        <f t="shared" si="9"/>
        <v>-</v>
      </c>
      <c r="H23" s="72" t="s">
        <v>280</v>
      </c>
      <c r="I23" s="73" t="str">
        <f t="shared" si="10"/>
        <v>-</v>
      </c>
      <c r="J23" s="57">
        <v>0</v>
      </c>
      <c r="K23" s="57">
        <f t="shared" si="11"/>
        <v>0</v>
      </c>
    </row>
    <row r="24" spans="1:11">
      <c r="A24" s="417" t="s">
        <v>440</v>
      </c>
      <c r="B24" s="417"/>
      <c r="C24" s="417"/>
      <c r="D24" s="417"/>
      <c r="E24" s="417"/>
      <c r="F24" s="417"/>
      <c r="G24" s="14"/>
      <c r="H24" s="14"/>
      <c r="I24" s="14"/>
      <c r="J24" s="145"/>
      <c r="K24" s="145"/>
    </row>
    <row r="25" spans="1:11">
      <c r="A25" s="473" t="s">
        <v>441</v>
      </c>
      <c r="B25" s="473"/>
      <c r="C25" s="473"/>
      <c r="D25" s="473"/>
      <c r="E25" s="473"/>
      <c r="F25" s="14"/>
      <c r="G25" s="14"/>
      <c r="H25" s="14"/>
      <c r="I25" s="14"/>
      <c r="J25" s="14"/>
      <c r="K25" s="14"/>
    </row>
    <row r="26" spans="1:11">
      <c r="A26" s="473"/>
      <c r="B26" s="473"/>
      <c r="C26" s="473"/>
      <c r="D26" s="473"/>
      <c r="E26" s="473"/>
      <c r="F26" s="14"/>
      <c r="G26" s="14"/>
      <c r="H26" s="14"/>
      <c r="I26" s="14"/>
      <c r="J26" s="14"/>
      <c r="K26" s="14"/>
    </row>
  </sheetData>
  <sortState ref="A16:K23">
    <sortCondition descending="1" ref="J16:J23"/>
  </sortState>
  <mergeCells count="13">
    <mergeCell ref="A25:E26"/>
    <mergeCell ref="J13:K13"/>
    <mergeCell ref="J2:K2"/>
    <mergeCell ref="B13:C13"/>
    <mergeCell ref="D13:E13"/>
    <mergeCell ref="F13:G13"/>
    <mergeCell ref="H13:I13"/>
    <mergeCell ref="A24:F24"/>
    <mergeCell ref="A1:K1"/>
    <mergeCell ref="B2:C2"/>
    <mergeCell ref="D2:E2"/>
    <mergeCell ref="F2:G2"/>
    <mergeCell ref="H2:I2"/>
  </mergeCells>
  <phoneticPr fontId="2" type="noConversion"/>
  <hyperlinks>
    <hyperlink ref="L1" location="本篇表次!A1" display="回本篇表次"/>
  </hyperlinks>
  <printOptions horizontalCentered="1" verticalCentered="1"/>
  <pageMargins left="0.70866141732283472" right="0.70866141732283472" top="0.74803149606299213" bottom="0.74803149606299213" header="0.31496062992125984" footer="0.31496062992125984"/>
  <pageSetup paperSize="224" scale="77"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21"/>
  <sheetViews>
    <sheetView showGridLines="0" workbookViewId="0">
      <pane xSplit="1" topLeftCell="B1" activePane="topRight" state="frozen"/>
      <selection pane="topRight" activeCell="V1" sqref="V1"/>
    </sheetView>
  </sheetViews>
  <sheetFormatPr defaultColWidth="7.625" defaultRowHeight="16.5"/>
  <cols>
    <col min="1" max="1" width="15.625" style="283" customWidth="1"/>
    <col min="2" max="20" width="7.625" style="283"/>
    <col min="21" max="21" width="7.625" style="283" customWidth="1"/>
    <col min="22" max="22" width="12.625" style="283" bestFit="1" customWidth="1"/>
    <col min="23" max="16384" width="7.625" style="283"/>
  </cols>
  <sheetData>
    <row r="1" spans="1:22" ht="23.1" customHeight="1">
      <c r="A1" s="456" t="s">
        <v>653</v>
      </c>
      <c r="B1" s="456"/>
      <c r="C1" s="456"/>
      <c r="D1" s="456"/>
      <c r="E1" s="456"/>
      <c r="F1" s="456"/>
      <c r="G1" s="456"/>
      <c r="H1" s="456"/>
      <c r="I1" s="456"/>
      <c r="J1" s="456"/>
      <c r="K1" s="456"/>
      <c r="L1" s="456"/>
      <c r="M1" s="456"/>
      <c r="N1" s="456"/>
      <c r="O1" s="456"/>
      <c r="P1" s="456"/>
      <c r="Q1" s="456"/>
      <c r="R1" s="456"/>
      <c r="S1" s="456"/>
      <c r="T1" s="456"/>
      <c r="U1" s="456"/>
      <c r="V1" s="348" t="s">
        <v>644</v>
      </c>
    </row>
    <row r="2" spans="1:22" ht="20.100000000000001" customHeight="1">
      <c r="A2" s="474"/>
      <c r="B2" s="476" t="s">
        <v>49</v>
      </c>
      <c r="C2" s="476"/>
      <c r="D2" s="476"/>
      <c r="E2" s="476"/>
      <c r="F2" s="476" t="s">
        <v>50</v>
      </c>
      <c r="G2" s="476"/>
      <c r="H2" s="476"/>
      <c r="I2" s="476"/>
      <c r="J2" s="476" t="s">
        <v>446</v>
      </c>
      <c r="K2" s="476"/>
      <c r="L2" s="476"/>
      <c r="M2" s="476"/>
      <c r="N2" s="476" t="s">
        <v>424</v>
      </c>
      <c r="O2" s="476"/>
      <c r="P2" s="476"/>
      <c r="Q2" s="476"/>
      <c r="R2" s="476" t="s">
        <v>53</v>
      </c>
      <c r="S2" s="476"/>
      <c r="T2" s="476"/>
      <c r="U2" s="476"/>
    </row>
    <row r="3" spans="1:22" ht="20.100000000000001" customHeight="1">
      <c r="A3" s="475"/>
      <c r="B3" s="476" t="s">
        <v>207</v>
      </c>
      <c r="C3" s="476"/>
      <c r="D3" s="476"/>
      <c r="E3" s="474" t="s">
        <v>208</v>
      </c>
      <c r="F3" s="476" t="s">
        <v>207</v>
      </c>
      <c r="G3" s="476"/>
      <c r="H3" s="476"/>
      <c r="I3" s="474" t="s">
        <v>208</v>
      </c>
      <c r="J3" s="476" t="s">
        <v>207</v>
      </c>
      <c r="K3" s="476"/>
      <c r="L3" s="476"/>
      <c r="M3" s="474" t="s">
        <v>208</v>
      </c>
      <c r="N3" s="476" t="s">
        <v>207</v>
      </c>
      <c r="O3" s="476"/>
      <c r="P3" s="476"/>
      <c r="Q3" s="474" t="s">
        <v>208</v>
      </c>
      <c r="R3" s="476" t="s">
        <v>207</v>
      </c>
      <c r="S3" s="476"/>
      <c r="T3" s="476"/>
      <c r="U3" s="474" t="s">
        <v>208</v>
      </c>
    </row>
    <row r="4" spans="1:22" ht="20.100000000000001" customHeight="1">
      <c r="A4" s="475"/>
      <c r="B4" s="284" t="s">
        <v>65</v>
      </c>
      <c r="C4" s="285" t="s">
        <v>98</v>
      </c>
      <c r="D4" s="285" t="s">
        <v>99</v>
      </c>
      <c r="E4" s="477"/>
      <c r="F4" s="284" t="s">
        <v>65</v>
      </c>
      <c r="G4" s="285" t="s">
        <v>98</v>
      </c>
      <c r="H4" s="285" t="s">
        <v>99</v>
      </c>
      <c r="I4" s="477"/>
      <c r="J4" s="284" t="s">
        <v>65</v>
      </c>
      <c r="K4" s="285" t="s">
        <v>98</v>
      </c>
      <c r="L4" s="285" t="s">
        <v>99</v>
      </c>
      <c r="M4" s="477"/>
      <c r="N4" s="284" t="s">
        <v>65</v>
      </c>
      <c r="O4" s="285" t="s">
        <v>98</v>
      </c>
      <c r="P4" s="285" t="s">
        <v>99</v>
      </c>
      <c r="Q4" s="477"/>
      <c r="R4" s="284" t="s">
        <v>65</v>
      </c>
      <c r="S4" s="285" t="s">
        <v>98</v>
      </c>
      <c r="T4" s="285" t="s">
        <v>99</v>
      </c>
      <c r="U4" s="477"/>
    </row>
    <row r="5" spans="1:22" ht="20.100000000000001" customHeight="1">
      <c r="A5" s="286" t="s">
        <v>65</v>
      </c>
      <c r="B5" s="287">
        <v>388</v>
      </c>
      <c r="C5" s="287">
        <v>348</v>
      </c>
      <c r="D5" s="287">
        <v>40</v>
      </c>
      <c r="E5" s="288">
        <f>SUM(E6:E10)</f>
        <v>99.999999999999986</v>
      </c>
      <c r="F5" s="289">
        <v>409</v>
      </c>
      <c r="G5" s="287">
        <v>376</v>
      </c>
      <c r="H5" s="287">
        <v>33</v>
      </c>
      <c r="I5" s="288">
        <f>SUM(I6:I10)</f>
        <v>100.00000000000001</v>
      </c>
      <c r="J5" s="289">
        <v>279</v>
      </c>
      <c r="K5" s="289">
        <v>261</v>
      </c>
      <c r="L5" s="289">
        <v>18</v>
      </c>
      <c r="M5" s="288">
        <f>SUM(M6:M10)</f>
        <v>99.999999999999986</v>
      </c>
      <c r="N5" s="287">
        <v>261</v>
      </c>
      <c r="O5" s="287">
        <v>244</v>
      </c>
      <c r="P5" s="287">
        <v>17</v>
      </c>
      <c r="Q5" s="288">
        <f>SUM(Q6:Q10)</f>
        <v>100</v>
      </c>
      <c r="R5" s="287">
        <f t="shared" ref="R5:R10" si="0">SUM(S5,T5)</f>
        <v>293</v>
      </c>
      <c r="S5" s="287">
        <v>270</v>
      </c>
      <c r="T5" s="287">
        <v>23</v>
      </c>
      <c r="U5" s="288">
        <f>SUM(U6:U10)</f>
        <v>99.999999999999986</v>
      </c>
    </row>
    <row r="6" spans="1:22" ht="20.100000000000001" customHeight="1">
      <c r="A6" s="286" t="s">
        <v>209</v>
      </c>
      <c r="B6" s="287">
        <v>135</v>
      </c>
      <c r="C6" s="287">
        <v>121</v>
      </c>
      <c r="D6" s="287">
        <v>14</v>
      </c>
      <c r="E6" s="288">
        <f>B6/B$5*100</f>
        <v>34.793814432989691</v>
      </c>
      <c r="F6" s="287">
        <v>142</v>
      </c>
      <c r="G6" s="287">
        <v>131</v>
      </c>
      <c r="H6" s="287">
        <v>11</v>
      </c>
      <c r="I6" s="288">
        <f>F6/F$5*100</f>
        <v>34.718826405867972</v>
      </c>
      <c r="J6" s="287">
        <v>81</v>
      </c>
      <c r="K6" s="287">
        <v>79</v>
      </c>
      <c r="L6" s="287">
        <v>2</v>
      </c>
      <c r="M6" s="288">
        <f>J6/J$5*100</f>
        <v>29.032258064516132</v>
      </c>
      <c r="N6" s="287">
        <v>77</v>
      </c>
      <c r="O6" s="287">
        <v>71</v>
      </c>
      <c r="P6" s="287">
        <v>6</v>
      </c>
      <c r="Q6" s="288">
        <f>N6/N$5*100</f>
        <v>29.501915708812259</v>
      </c>
      <c r="R6" s="287">
        <f t="shared" si="0"/>
        <v>74</v>
      </c>
      <c r="S6" s="287">
        <v>69</v>
      </c>
      <c r="T6" s="287">
        <v>5</v>
      </c>
      <c r="U6" s="288">
        <f>R6/R$5*100</f>
        <v>25.255972696245731</v>
      </c>
    </row>
    <row r="7" spans="1:22" ht="20.100000000000001" customHeight="1">
      <c r="A7" s="286" t="s">
        <v>211</v>
      </c>
      <c r="B7" s="287">
        <v>117</v>
      </c>
      <c r="C7" s="287">
        <v>107</v>
      </c>
      <c r="D7" s="287">
        <v>10</v>
      </c>
      <c r="E7" s="288">
        <f>B7/B$5*100</f>
        <v>30.154639175257731</v>
      </c>
      <c r="F7" s="287">
        <v>127</v>
      </c>
      <c r="G7" s="287">
        <v>112</v>
      </c>
      <c r="H7" s="287">
        <v>15</v>
      </c>
      <c r="I7" s="288">
        <f>F7/F$5*100</f>
        <v>31.051344743276282</v>
      </c>
      <c r="J7" s="287">
        <v>93</v>
      </c>
      <c r="K7" s="287">
        <v>85</v>
      </c>
      <c r="L7" s="287">
        <v>8</v>
      </c>
      <c r="M7" s="288">
        <f>J7/J$5*100</f>
        <v>33.333333333333329</v>
      </c>
      <c r="N7" s="287">
        <v>77</v>
      </c>
      <c r="O7" s="287">
        <v>70</v>
      </c>
      <c r="P7" s="287">
        <v>7</v>
      </c>
      <c r="Q7" s="288">
        <f>N7/N$5*100</f>
        <v>29.501915708812259</v>
      </c>
      <c r="R7" s="287">
        <f t="shared" si="0"/>
        <v>106</v>
      </c>
      <c r="S7" s="287">
        <v>94</v>
      </c>
      <c r="T7" s="287">
        <v>12</v>
      </c>
      <c r="U7" s="288">
        <f>R7/R$5*100</f>
        <v>36.177474402730375</v>
      </c>
    </row>
    <row r="8" spans="1:22" ht="20.100000000000001" customHeight="1">
      <c r="A8" s="286" t="s">
        <v>210</v>
      </c>
      <c r="B8" s="287">
        <v>65</v>
      </c>
      <c r="C8" s="287">
        <v>56</v>
      </c>
      <c r="D8" s="287">
        <v>9</v>
      </c>
      <c r="E8" s="288">
        <f>B8/B$5*100</f>
        <v>16.752577319587626</v>
      </c>
      <c r="F8" s="287">
        <v>75</v>
      </c>
      <c r="G8" s="287">
        <v>71</v>
      </c>
      <c r="H8" s="287">
        <v>4</v>
      </c>
      <c r="I8" s="288">
        <f>F8/F$5*100</f>
        <v>18.337408312958438</v>
      </c>
      <c r="J8" s="287">
        <v>55</v>
      </c>
      <c r="K8" s="287">
        <v>50</v>
      </c>
      <c r="L8" s="287">
        <v>5</v>
      </c>
      <c r="M8" s="288">
        <f>J8/J$5*100</f>
        <v>19.713261648745519</v>
      </c>
      <c r="N8" s="287">
        <v>64</v>
      </c>
      <c r="O8" s="287">
        <v>62</v>
      </c>
      <c r="P8" s="287">
        <v>2</v>
      </c>
      <c r="Q8" s="288">
        <f>N8/N$5*100</f>
        <v>24.521072796934863</v>
      </c>
      <c r="R8" s="287">
        <f t="shared" si="0"/>
        <v>67</v>
      </c>
      <c r="S8" s="287">
        <v>63</v>
      </c>
      <c r="T8" s="287">
        <v>4</v>
      </c>
      <c r="U8" s="288">
        <f>R8/R$5*100</f>
        <v>22.866894197952217</v>
      </c>
    </row>
    <row r="9" spans="1:22" ht="20.100000000000001" customHeight="1">
      <c r="A9" s="290" t="s">
        <v>212</v>
      </c>
      <c r="B9" s="287">
        <v>57</v>
      </c>
      <c r="C9" s="287">
        <v>51</v>
      </c>
      <c r="D9" s="287">
        <v>6</v>
      </c>
      <c r="E9" s="288">
        <f>B9/B$5*100</f>
        <v>14.690721649484537</v>
      </c>
      <c r="F9" s="291">
        <v>52</v>
      </c>
      <c r="G9" s="291">
        <v>49</v>
      </c>
      <c r="H9" s="291">
        <v>3</v>
      </c>
      <c r="I9" s="292">
        <f>F9/F$5*100</f>
        <v>12.713936430317849</v>
      </c>
      <c r="J9" s="291">
        <v>33</v>
      </c>
      <c r="K9" s="291">
        <v>31</v>
      </c>
      <c r="L9" s="291">
        <v>2</v>
      </c>
      <c r="M9" s="292">
        <f>J9/J$5*100</f>
        <v>11.827956989247312</v>
      </c>
      <c r="N9" s="291">
        <v>26</v>
      </c>
      <c r="O9" s="291">
        <v>25</v>
      </c>
      <c r="P9" s="291">
        <v>1</v>
      </c>
      <c r="Q9" s="288">
        <f>N9/N$5*100</f>
        <v>9.9616858237547881</v>
      </c>
      <c r="R9" s="291">
        <f>SUM(S9,T9)</f>
        <v>30</v>
      </c>
      <c r="S9" s="291">
        <v>28</v>
      </c>
      <c r="T9" s="291">
        <v>2</v>
      </c>
      <c r="U9" s="292">
        <f>R9/R$5*100</f>
        <v>10.238907849829351</v>
      </c>
    </row>
    <row r="10" spans="1:22" ht="20.100000000000001" customHeight="1" thickBot="1">
      <c r="A10" s="293" t="s">
        <v>213</v>
      </c>
      <c r="B10" s="294">
        <v>14</v>
      </c>
      <c r="C10" s="294">
        <v>13</v>
      </c>
      <c r="D10" s="294">
        <v>1</v>
      </c>
      <c r="E10" s="295">
        <f>B10/B$5*100</f>
        <v>3.608247422680412</v>
      </c>
      <c r="F10" s="294">
        <v>13</v>
      </c>
      <c r="G10" s="294">
        <v>13</v>
      </c>
      <c r="H10" s="296" t="s">
        <v>77</v>
      </c>
      <c r="I10" s="295">
        <f>F10/F$5*100</f>
        <v>3.1784841075794623</v>
      </c>
      <c r="J10" s="294">
        <v>17</v>
      </c>
      <c r="K10" s="294">
        <v>16</v>
      </c>
      <c r="L10" s="294">
        <v>1</v>
      </c>
      <c r="M10" s="295">
        <f>J10/J$5*100</f>
        <v>6.0931899641577063</v>
      </c>
      <c r="N10" s="294">
        <v>17</v>
      </c>
      <c r="O10" s="294">
        <v>16</v>
      </c>
      <c r="P10" s="294">
        <v>1</v>
      </c>
      <c r="Q10" s="295">
        <f>N10/N$5*100</f>
        <v>6.5134099616858236</v>
      </c>
      <c r="R10" s="294">
        <f t="shared" si="0"/>
        <v>16</v>
      </c>
      <c r="S10" s="294">
        <v>16</v>
      </c>
      <c r="T10" s="296" t="s">
        <v>77</v>
      </c>
      <c r="U10" s="295">
        <f>R10/R$5*100</f>
        <v>5.4607508532423212</v>
      </c>
    </row>
    <row r="11" spans="1:22" ht="20.100000000000001" customHeight="1">
      <c r="A11" s="482"/>
      <c r="B11" s="478" t="s">
        <v>54</v>
      </c>
      <c r="C11" s="478"/>
      <c r="D11" s="478"/>
      <c r="E11" s="478"/>
      <c r="F11" s="478" t="s">
        <v>445</v>
      </c>
      <c r="G11" s="478"/>
      <c r="H11" s="478"/>
      <c r="I11" s="478"/>
      <c r="J11" s="478" t="s">
        <v>214</v>
      </c>
      <c r="K11" s="478"/>
      <c r="L11" s="478"/>
      <c r="M11" s="478"/>
      <c r="N11" s="478" t="s">
        <v>425</v>
      </c>
      <c r="O11" s="478"/>
      <c r="P11" s="478"/>
      <c r="Q11" s="478"/>
      <c r="R11" s="478" t="s">
        <v>428</v>
      </c>
      <c r="S11" s="478"/>
      <c r="T11" s="478"/>
      <c r="U11" s="478"/>
    </row>
    <row r="12" spans="1:22" ht="20.100000000000001" customHeight="1">
      <c r="A12" s="475"/>
      <c r="B12" s="476" t="s">
        <v>207</v>
      </c>
      <c r="C12" s="476"/>
      <c r="D12" s="476"/>
      <c r="E12" s="474" t="s">
        <v>208</v>
      </c>
      <c r="F12" s="476" t="s">
        <v>207</v>
      </c>
      <c r="G12" s="476"/>
      <c r="H12" s="476"/>
      <c r="I12" s="474" t="s">
        <v>208</v>
      </c>
      <c r="J12" s="476" t="s">
        <v>207</v>
      </c>
      <c r="K12" s="476"/>
      <c r="L12" s="476"/>
      <c r="M12" s="474" t="s">
        <v>208</v>
      </c>
      <c r="N12" s="476" t="s">
        <v>207</v>
      </c>
      <c r="O12" s="476"/>
      <c r="P12" s="476"/>
      <c r="Q12" s="474" t="s">
        <v>208</v>
      </c>
      <c r="R12" s="476" t="s">
        <v>207</v>
      </c>
      <c r="S12" s="476"/>
      <c r="T12" s="476"/>
      <c r="U12" s="474" t="s">
        <v>208</v>
      </c>
    </row>
    <row r="13" spans="1:22" ht="20.100000000000001" customHeight="1">
      <c r="A13" s="475"/>
      <c r="B13" s="284" t="s">
        <v>65</v>
      </c>
      <c r="C13" s="285" t="s">
        <v>98</v>
      </c>
      <c r="D13" s="285" t="s">
        <v>99</v>
      </c>
      <c r="E13" s="477"/>
      <c r="F13" s="284" t="s">
        <v>65</v>
      </c>
      <c r="G13" s="285" t="s">
        <v>98</v>
      </c>
      <c r="H13" s="285" t="s">
        <v>99</v>
      </c>
      <c r="I13" s="477"/>
      <c r="J13" s="284" t="s">
        <v>65</v>
      </c>
      <c r="K13" s="285" t="s">
        <v>98</v>
      </c>
      <c r="L13" s="285" t="s">
        <v>99</v>
      </c>
      <c r="M13" s="477"/>
      <c r="N13" s="284" t="s">
        <v>65</v>
      </c>
      <c r="O13" s="285" t="s">
        <v>98</v>
      </c>
      <c r="P13" s="285" t="s">
        <v>99</v>
      </c>
      <c r="Q13" s="477"/>
      <c r="R13" s="284" t="s">
        <v>65</v>
      </c>
      <c r="S13" s="285" t="s">
        <v>98</v>
      </c>
      <c r="T13" s="285" t="s">
        <v>99</v>
      </c>
      <c r="U13" s="477"/>
    </row>
    <row r="14" spans="1:22" ht="20.100000000000001" customHeight="1">
      <c r="A14" s="286" t="s">
        <v>65</v>
      </c>
      <c r="B14" s="287">
        <f t="shared" ref="B14" si="1">SUM(C14,D14)</f>
        <v>325</v>
      </c>
      <c r="C14" s="287">
        <v>300</v>
      </c>
      <c r="D14" s="287">
        <v>25</v>
      </c>
      <c r="E14" s="288">
        <f>SUM(E15:E19)</f>
        <v>100</v>
      </c>
      <c r="F14" s="289">
        <f t="shared" ref="F14" si="2">SUM(G14,H14)</f>
        <v>236</v>
      </c>
      <c r="G14" s="287">
        <v>210</v>
      </c>
      <c r="H14" s="287">
        <v>26</v>
      </c>
      <c r="I14" s="288">
        <f>SUM(I15:I19)</f>
        <v>100</v>
      </c>
      <c r="J14" s="289">
        <f t="shared" ref="J14" si="3">SUM(K14:L14)</f>
        <v>301</v>
      </c>
      <c r="K14" s="287">
        <f>SUM(K15:K19)</f>
        <v>284</v>
      </c>
      <c r="L14" s="287">
        <f>SUM(L15:L19)</f>
        <v>17</v>
      </c>
      <c r="M14" s="288">
        <f>SUM(M15:M19)</f>
        <v>99.999999999999986</v>
      </c>
      <c r="N14" s="289">
        <f t="shared" ref="N14" si="4">SUM(O14:P14)</f>
        <v>350</v>
      </c>
      <c r="O14" s="287">
        <f>SUM(O15:O19)</f>
        <v>325</v>
      </c>
      <c r="P14" s="287">
        <f>SUM(P15:P19)</f>
        <v>25</v>
      </c>
      <c r="Q14" s="288">
        <f>SUM(Q15:Q19)</f>
        <v>100.00000000000001</v>
      </c>
      <c r="R14" s="289">
        <f t="shared" ref="R14:R19" si="5">SUM(S14:T14)</f>
        <v>381</v>
      </c>
      <c r="S14" s="287">
        <v>354</v>
      </c>
      <c r="T14" s="287">
        <v>27</v>
      </c>
      <c r="U14" s="288">
        <f>SUM(U15:U19)</f>
        <v>100</v>
      </c>
    </row>
    <row r="15" spans="1:22" ht="20.100000000000001" customHeight="1">
      <c r="A15" s="286" t="s">
        <v>209</v>
      </c>
      <c r="B15" s="287">
        <f>SUM(C15,D15)</f>
        <v>98</v>
      </c>
      <c r="C15" s="287">
        <v>92</v>
      </c>
      <c r="D15" s="287">
        <v>6</v>
      </c>
      <c r="E15" s="288">
        <f>B15/B$14*100</f>
        <v>30.153846153846153</v>
      </c>
      <c r="F15" s="287">
        <f>SUM(G15,H15)</f>
        <v>65</v>
      </c>
      <c r="G15" s="287">
        <v>61</v>
      </c>
      <c r="H15" s="287">
        <v>4</v>
      </c>
      <c r="I15" s="288">
        <f>F15/F$14*100</f>
        <v>27.542372881355931</v>
      </c>
      <c r="J15" s="287">
        <f>SUM(K15:L15)</f>
        <v>98</v>
      </c>
      <c r="K15" s="287">
        <v>92</v>
      </c>
      <c r="L15" s="287">
        <v>6</v>
      </c>
      <c r="M15" s="288">
        <f>J15/J$14*100</f>
        <v>32.558139534883722</v>
      </c>
      <c r="N15" s="287">
        <f>SUM(O15:P15)</f>
        <v>159</v>
      </c>
      <c r="O15" s="287">
        <v>148</v>
      </c>
      <c r="P15" s="287">
        <v>11</v>
      </c>
      <c r="Q15" s="288">
        <f>N15/N$14*100</f>
        <v>45.428571428571431</v>
      </c>
      <c r="R15" s="287">
        <f t="shared" si="5"/>
        <v>160</v>
      </c>
      <c r="S15" s="287">
        <v>153</v>
      </c>
      <c r="T15" s="287">
        <v>7</v>
      </c>
      <c r="U15" s="288">
        <f>R15/R$14*100</f>
        <v>41.99475065616798</v>
      </c>
    </row>
    <row r="16" spans="1:22" ht="20.100000000000001" customHeight="1">
      <c r="A16" s="286" t="s">
        <v>211</v>
      </c>
      <c r="B16" s="287">
        <f>SUM(C16,D16)</f>
        <v>91</v>
      </c>
      <c r="C16" s="287">
        <v>80</v>
      </c>
      <c r="D16" s="287">
        <v>11</v>
      </c>
      <c r="E16" s="288">
        <f>B16/B$14*100</f>
        <v>28.000000000000004</v>
      </c>
      <c r="F16" s="287">
        <f>SUM(G16,H16)</f>
        <v>78</v>
      </c>
      <c r="G16" s="287">
        <v>67</v>
      </c>
      <c r="H16" s="287">
        <v>11</v>
      </c>
      <c r="I16" s="288">
        <f>F16/F$14*100</f>
        <v>33.050847457627121</v>
      </c>
      <c r="J16" s="287">
        <f>SUM(K16:L16)</f>
        <v>97</v>
      </c>
      <c r="K16" s="287">
        <v>91</v>
      </c>
      <c r="L16" s="287">
        <v>6</v>
      </c>
      <c r="M16" s="288">
        <f>J16/J$14*100</f>
        <v>32.225913621262457</v>
      </c>
      <c r="N16" s="287">
        <f>SUM(O16:P16)</f>
        <v>86</v>
      </c>
      <c r="O16" s="287">
        <v>76</v>
      </c>
      <c r="P16" s="287">
        <v>10</v>
      </c>
      <c r="Q16" s="288">
        <f>N16/N$14*100</f>
        <v>24.571428571428573</v>
      </c>
      <c r="R16" s="287">
        <f t="shared" si="5"/>
        <v>89</v>
      </c>
      <c r="S16" s="287">
        <v>79</v>
      </c>
      <c r="T16" s="287">
        <v>10</v>
      </c>
      <c r="U16" s="288">
        <f>R16/R$14*100</f>
        <v>23.359580052493438</v>
      </c>
    </row>
    <row r="17" spans="1:21" ht="20.100000000000001" customHeight="1">
      <c r="A17" s="286" t="s">
        <v>210</v>
      </c>
      <c r="B17" s="287">
        <f>SUM(C17,D17)</f>
        <v>67</v>
      </c>
      <c r="C17" s="287">
        <v>63</v>
      </c>
      <c r="D17" s="287">
        <v>4</v>
      </c>
      <c r="E17" s="288">
        <f>B17/B$14*100</f>
        <v>20.615384615384617</v>
      </c>
      <c r="F17" s="287">
        <f>SUM(G17,H17)</f>
        <v>63</v>
      </c>
      <c r="G17" s="287">
        <v>55</v>
      </c>
      <c r="H17" s="287">
        <v>8</v>
      </c>
      <c r="I17" s="288">
        <f>F17/F$14*100</f>
        <v>26.694915254237291</v>
      </c>
      <c r="J17" s="287">
        <f>SUM(K17:L17)</f>
        <v>64</v>
      </c>
      <c r="K17" s="287">
        <v>60</v>
      </c>
      <c r="L17" s="287">
        <v>4</v>
      </c>
      <c r="M17" s="288">
        <f>J17/J$14*100</f>
        <v>21.262458471760798</v>
      </c>
      <c r="N17" s="287">
        <f>SUM(O17:P17)</f>
        <v>66</v>
      </c>
      <c r="O17" s="287">
        <v>64</v>
      </c>
      <c r="P17" s="287">
        <v>2</v>
      </c>
      <c r="Q17" s="288">
        <f>N17/N$14*100</f>
        <v>18.857142857142858</v>
      </c>
      <c r="R17" s="287">
        <f t="shared" si="5"/>
        <v>81</v>
      </c>
      <c r="S17" s="287">
        <v>76</v>
      </c>
      <c r="T17" s="287">
        <v>5</v>
      </c>
      <c r="U17" s="288">
        <f>R17/R$14*100</f>
        <v>21.259842519685041</v>
      </c>
    </row>
    <row r="18" spans="1:21" ht="20.100000000000001" customHeight="1">
      <c r="A18" s="290" t="s">
        <v>212</v>
      </c>
      <c r="B18" s="291">
        <f>SUM(C18,D18)</f>
        <v>52</v>
      </c>
      <c r="C18" s="291">
        <v>48</v>
      </c>
      <c r="D18" s="291">
        <v>4</v>
      </c>
      <c r="E18" s="292">
        <f>B18/B$14*100</f>
        <v>16</v>
      </c>
      <c r="F18" s="291">
        <f>SUM(G18,H18)</f>
        <v>18</v>
      </c>
      <c r="G18" s="291">
        <v>15</v>
      </c>
      <c r="H18" s="291">
        <v>3</v>
      </c>
      <c r="I18" s="292">
        <f>F18/F$14*100</f>
        <v>7.6271186440677967</v>
      </c>
      <c r="J18" s="291">
        <f>SUM(K18:L18)</f>
        <v>19</v>
      </c>
      <c r="K18" s="291">
        <v>19</v>
      </c>
      <c r="L18" s="297" t="s">
        <v>165</v>
      </c>
      <c r="M18" s="292">
        <f>J18/J$14*100</f>
        <v>6.3122923588039868</v>
      </c>
      <c r="N18" s="291">
        <f>SUM(O18:P18)</f>
        <v>15</v>
      </c>
      <c r="O18" s="291">
        <v>15</v>
      </c>
      <c r="P18" s="297" t="s">
        <v>165</v>
      </c>
      <c r="Q18" s="292">
        <f>N18/N$14*100</f>
        <v>4.2857142857142856</v>
      </c>
      <c r="R18" s="291">
        <f t="shared" si="5"/>
        <v>26</v>
      </c>
      <c r="S18" s="291">
        <v>24</v>
      </c>
      <c r="T18" s="291">
        <v>2</v>
      </c>
      <c r="U18" s="292">
        <f>R18/R$14*100</f>
        <v>6.8241469816272966</v>
      </c>
    </row>
    <row r="19" spans="1:21" ht="20.100000000000001" customHeight="1">
      <c r="A19" s="298" t="s">
        <v>213</v>
      </c>
      <c r="B19" s="299">
        <f>SUM(C19,D19)</f>
        <v>17</v>
      </c>
      <c r="C19" s="299">
        <v>17</v>
      </c>
      <c r="D19" s="300" t="s">
        <v>165</v>
      </c>
      <c r="E19" s="301">
        <f>B19/B$14*100</f>
        <v>5.2307692307692308</v>
      </c>
      <c r="F19" s="299">
        <f>SUM(G19,H19)</f>
        <v>12</v>
      </c>
      <c r="G19" s="299">
        <v>12</v>
      </c>
      <c r="H19" s="300" t="s">
        <v>165</v>
      </c>
      <c r="I19" s="301">
        <f>F19/F$14*100</f>
        <v>5.0847457627118651</v>
      </c>
      <c r="J19" s="299">
        <f>SUM(K19:L19)</f>
        <v>23</v>
      </c>
      <c r="K19" s="299">
        <v>22</v>
      </c>
      <c r="L19" s="299">
        <v>1</v>
      </c>
      <c r="M19" s="301">
        <f>J19/J$14*100</f>
        <v>7.6411960132890364</v>
      </c>
      <c r="N19" s="299">
        <f>SUM(O19:P19)</f>
        <v>24</v>
      </c>
      <c r="O19" s="299">
        <v>22</v>
      </c>
      <c r="P19" s="299">
        <v>2</v>
      </c>
      <c r="Q19" s="301">
        <f>N19/N$14*100</f>
        <v>6.8571428571428577</v>
      </c>
      <c r="R19" s="299">
        <f t="shared" si="5"/>
        <v>25</v>
      </c>
      <c r="S19" s="299">
        <v>22</v>
      </c>
      <c r="T19" s="299">
        <v>3</v>
      </c>
      <c r="U19" s="301">
        <f>R19/R$14*100</f>
        <v>6.5616797900262469</v>
      </c>
    </row>
    <row r="20" spans="1:21">
      <c r="A20" s="479" t="s">
        <v>426</v>
      </c>
      <c r="B20" s="479"/>
      <c r="C20" s="479"/>
      <c r="D20" s="479"/>
      <c r="E20" s="302"/>
      <c r="F20" s="302"/>
      <c r="G20" s="302"/>
      <c r="H20" s="302"/>
      <c r="I20" s="302"/>
      <c r="J20" s="302"/>
      <c r="K20" s="302"/>
      <c r="L20" s="302"/>
      <c r="M20" s="302"/>
      <c r="N20" s="303"/>
      <c r="O20" s="303"/>
      <c r="P20" s="303"/>
      <c r="Q20" s="302"/>
      <c r="R20" s="302"/>
      <c r="S20" s="302"/>
      <c r="T20" s="302"/>
      <c r="U20" s="302"/>
    </row>
    <row r="21" spans="1:21">
      <c r="A21" s="480" t="s">
        <v>427</v>
      </c>
      <c r="B21" s="481"/>
      <c r="C21" s="481"/>
      <c r="D21" s="481"/>
      <c r="E21" s="481"/>
      <c r="F21" s="481"/>
      <c r="G21" s="302"/>
      <c r="H21" s="302"/>
      <c r="I21" s="302"/>
      <c r="J21" s="302"/>
      <c r="K21" s="302"/>
      <c r="L21" s="302"/>
      <c r="M21" s="302"/>
      <c r="N21" s="302"/>
      <c r="O21" s="302"/>
      <c r="P21" s="302"/>
      <c r="Q21" s="302"/>
      <c r="R21" s="302"/>
      <c r="S21" s="302"/>
      <c r="T21" s="302"/>
      <c r="U21" s="302"/>
    </row>
  </sheetData>
  <sortState ref="A15:U19">
    <sortCondition descending="1" ref="S15:S19"/>
  </sortState>
  <mergeCells count="35">
    <mergeCell ref="A20:D20"/>
    <mergeCell ref="A21:F21"/>
    <mergeCell ref="R11:U11"/>
    <mergeCell ref="R12:T12"/>
    <mergeCell ref="U12:U13"/>
    <mergeCell ref="E12:E13"/>
    <mergeCell ref="F12:H12"/>
    <mergeCell ref="I12:I13"/>
    <mergeCell ref="J12:L12"/>
    <mergeCell ref="M12:M13"/>
    <mergeCell ref="N12:P12"/>
    <mergeCell ref="A11:A13"/>
    <mergeCell ref="B12:D12"/>
    <mergeCell ref="Q12:Q13"/>
    <mergeCell ref="B11:E11"/>
    <mergeCell ref="F11:I11"/>
    <mergeCell ref="J11:M11"/>
    <mergeCell ref="N11:Q11"/>
    <mergeCell ref="R3:T3"/>
    <mergeCell ref="E3:E4"/>
    <mergeCell ref="F3:H3"/>
    <mergeCell ref="I3:I4"/>
    <mergeCell ref="J3:L3"/>
    <mergeCell ref="M3:M4"/>
    <mergeCell ref="N3:P3"/>
    <mergeCell ref="A1:U1"/>
    <mergeCell ref="A2:A4"/>
    <mergeCell ref="B2:E2"/>
    <mergeCell ref="F2:I2"/>
    <mergeCell ref="J2:M2"/>
    <mergeCell ref="N2:Q2"/>
    <mergeCell ref="B3:D3"/>
    <mergeCell ref="Q3:Q4"/>
    <mergeCell ref="R2:U2"/>
    <mergeCell ref="U3:U4"/>
  </mergeCells>
  <phoneticPr fontId="23" type="noConversion"/>
  <hyperlinks>
    <hyperlink ref="V1" location="本篇表次!A1" display="回本篇表次"/>
  </hyperlinks>
  <printOptions horizontalCentered="1" verticalCentered="1"/>
  <pageMargins left="0.70866141732283472" right="0.70866141732283472" top="0.74803149606299213" bottom="0.74803149606299213" header="0.31496062992125984" footer="0.31496062992125984"/>
  <pageSetup paperSize="224" scale="57"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23"/>
  <sheetViews>
    <sheetView showGridLines="0" workbookViewId="0">
      <pane xSplit="1" topLeftCell="B1" activePane="topRight" state="frozen"/>
      <selection pane="topRight" activeCell="L1" sqref="L1"/>
    </sheetView>
  </sheetViews>
  <sheetFormatPr defaultColWidth="9" defaultRowHeight="16.5"/>
  <cols>
    <col min="1" max="1" width="18.125" customWidth="1"/>
    <col min="12" max="12" width="12.625" bestFit="1" customWidth="1"/>
  </cols>
  <sheetData>
    <row r="1" spans="1:12" ht="21.95" customHeight="1">
      <c r="A1" s="407" t="s">
        <v>654</v>
      </c>
      <c r="B1" s="407"/>
      <c r="C1" s="407"/>
      <c r="D1" s="407"/>
      <c r="E1" s="407"/>
      <c r="F1" s="407"/>
      <c r="G1" s="407"/>
      <c r="H1" s="407"/>
      <c r="I1" s="407"/>
      <c r="J1" s="407"/>
      <c r="K1" s="407"/>
      <c r="L1" s="348" t="s">
        <v>644</v>
      </c>
    </row>
    <row r="2" spans="1:12" ht="20.100000000000001" customHeight="1">
      <c r="A2" s="232"/>
      <c r="B2" s="461" t="s">
        <v>100</v>
      </c>
      <c r="C2" s="378"/>
      <c r="D2" s="461" t="s">
        <v>101</v>
      </c>
      <c r="E2" s="452"/>
      <c r="F2" s="461" t="s">
        <v>102</v>
      </c>
      <c r="G2" s="452"/>
      <c r="H2" s="461" t="s">
        <v>103</v>
      </c>
      <c r="I2" s="378"/>
      <c r="J2" s="461" t="s">
        <v>104</v>
      </c>
      <c r="K2" s="378"/>
    </row>
    <row r="3" spans="1:12" ht="20.100000000000001" customHeight="1">
      <c r="A3" s="233"/>
      <c r="B3" s="230" t="s">
        <v>105</v>
      </c>
      <c r="C3" s="230" t="s">
        <v>106</v>
      </c>
      <c r="D3" s="230" t="s">
        <v>105</v>
      </c>
      <c r="E3" s="230" t="s">
        <v>106</v>
      </c>
      <c r="F3" s="230" t="s">
        <v>105</v>
      </c>
      <c r="G3" s="230" t="s">
        <v>106</v>
      </c>
      <c r="H3" s="230" t="s">
        <v>105</v>
      </c>
      <c r="I3" s="230" t="s">
        <v>106</v>
      </c>
      <c r="J3" s="230" t="s">
        <v>105</v>
      </c>
      <c r="K3" s="230" t="s">
        <v>106</v>
      </c>
    </row>
    <row r="4" spans="1:12" ht="20.100000000000001" customHeight="1">
      <c r="A4" s="231" t="s">
        <v>107</v>
      </c>
      <c r="B4" s="21">
        <f>SUM(B7:B11)</f>
        <v>385</v>
      </c>
      <c r="C4" s="22">
        <v>100</v>
      </c>
      <c r="D4" s="21">
        <f>SUM(D7:D11)</f>
        <v>406</v>
      </c>
      <c r="E4" s="22">
        <v>100</v>
      </c>
      <c r="F4" s="21">
        <f>SUM(F7:F11)</f>
        <v>276</v>
      </c>
      <c r="G4" s="22">
        <v>100</v>
      </c>
      <c r="H4" s="21">
        <f>SUM(H7:H11)</f>
        <v>260</v>
      </c>
      <c r="I4" s="22">
        <v>100</v>
      </c>
      <c r="J4" s="21">
        <f>SUM(J7:J11)</f>
        <v>291</v>
      </c>
      <c r="K4" s="22">
        <f t="shared" ref="K4" si="0">SUM(K7:K11)</f>
        <v>100.00000000000001</v>
      </c>
    </row>
    <row r="5" spans="1:12" ht="20.100000000000001" customHeight="1">
      <c r="A5" s="60" t="s">
        <v>108</v>
      </c>
      <c r="B5" s="21">
        <v>345</v>
      </c>
      <c r="C5" s="22">
        <f>IFERROR(B5/B$4*100,"-")</f>
        <v>89.610389610389603</v>
      </c>
      <c r="D5" s="21">
        <v>374</v>
      </c>
      <c r="E5" s="22">
        <f>IFERROR(D5/D$4*100,"-")</f>
        <v>92.118226600985224</v>
      </c>
      <c r="F5" s="21">
        <v>258</v>
      </c>
      <c r="G5" s="22">
        <f>IFERROR(F5/F$4*100,"-")</f>
        <v>93.478260869565219</v>
      </c>
      <c r="H5" s="21">
        <v>243</v>
      </c>
      <c r="I5" s="22">
        <f>IFERROR(H5/H$4*100,"-")</f>
        <v>93.461538461538467</v>
      </c>
      <c r="J5" s="21">
        <v>269</v>
      </c>
      <c r="K5" s="22">
        <f>IFERROR(J5/J$4*100,"-")</f>
        <v>92.439862542955325</v>
      </c>
    </row>
    <row r="6" spans="1:12" ht="20.100000000000001" customHeight="1">
      <c r="A6" s="62" t="s">
        <v>109</v>
      </c>
      <c r="B6" s="25">
        <v>40</v>
      </c>
      <c r="C6" s="26">
        <f t="shared" ref="C6:C10" si="1">IFERROR(B6/B$4*100,"-")</f>
        <v>10.38961038961039</v>
      </c>
      <c r="D6" s="25">
        <v>32</v>
      </c>
      <c r="E6" s="26">
        <f t="shared" ref="E6:E10" si="2">IFERROR(D6/D$4*100,"-")</f>
        <v>7.8817733990147785</v>
      </c>
      <c r="F6" s="25">
        <v>18</v>
      </c>
      <c r="G6" s="26">
        <f t="shared" ref="G6:G10" si="3">IFERROR(F6/F$4*100,"-")</f>
        <v>6.5217391304347823</v>
      </c>
      <c r="H6" s="25">
        <v>17</v>
      </c>
      <c r="I6" s="26">
        <f t="shared" ref="I6:I10" si="4">IFERROR(H6/H$4*100,"-")</f>
        <v>6.5384615384615392</v>
      </c>
      <c r="J6" s="25">
        <v>22</v>
      </c>
      <c r="K6" s="26">
        <f t="shared" ref="K6:K10" si="5">IFERROR(J6/J$4*100,"-")</f>
        <v>7.5601374570446733</v>
      </c>
    </row>
    <row r="7" spans="1:12" ht="20.100000000000001" customHeight="1">
      <c r="A7" s="27" t="s">
        <v>110</v>
      </c>
      <c r="B7" s="21">
        <v>225</v>
      </c>
      <c r="C7" s="22">
        <f t="shared" si="1"/>
        <v>58.441558441558442</v>
      </c>
      <c r="D7" s="21">
        <v>214</v>
      </c>
      <c r="E7" s="22">
        <f t="shared" si="2"/>
        <v>52.709359605911331</v>
      </c>
      <c r="F7" s="21">
        <v>146</v>
      </c>
      <c r="G7" s="22">
        <f t="shared" si="3"/>
        <v>52.89855072463768</v>
      </c>
      <c r="H7" s="21">
        <v>156</v>
      </c>
      <c r="I7" s="22">
        <f t="shared" si="4"/>
        <v>60</v>
      </c>
      <c r="J7" s="21">
        <v>171</v>
      </c>
      <c r="K7" s="22">
        <f t="shared" si="5"/>
        <v>58.762886597938149</v>
      </c>
    </row>
    <row r="8" spans="1:12" ht="20.100000000000001" customHeight="1">
      <c r="A8" s="27" t="s">
        <v>111</v>
      </c>
      <c r="B8" s="21">
        <v>120</v>
      </c>
      <c r="C8" s="22">
        <f t="shared" si="1"/>
        <v>31.168831168831169</v>
      </c>
      <c r="D8" s="21">
        <v>139</v>
      </c>
      <c r="E8" s="22">
        <f t="shared" si="2"/>
        <v>34.236453201970448</v>
      </c>
      <c r="F8" s="21">
        <v>99</v>
      </c>
      <c r="G8" s="22">
        <f t="shared" si="3"/>
        <v>35.869565217391305</v>
      </c>
      <c r="H8" s="21">
        <v>79</v>
      </c>
      <c r="I8" s="22">
        <f t="shared" si="4"/>
        <v>30.384615384615383</v>
      </c>
      <c r="J8" s="21">
        <v>89</v>
      </c>
      <c r="K8" s="22">
        <f t="shared" si="5"/>
        <v>30.584192439862544</v>
      </c>
    </row>
    <row r="9" spans="1:12" ht="20.100000000000001" customHeight="1">
      <c r="A9" s="27" t="s">
        <v>112</v>
      </c>
      <c r="B9" s="21">
        <v>37</v>
      </c>
      <c r="C9" s="22">
        <f t="shared" si="1"/>
        <v>9.6103896103896105</v>
      </c>
      <c r="D9" s="21">
        <v>40</v>
      </c>
      <c r="E9" s="22">
        <f t="shared" si="2"/>
        <v>9.8522167487684733</v>
      </c>
      <c r="F9" s="21">
        <v>26</v>
      </c>
      <c r="G9" s="22">
        <f t="shared" si="3"/>
        <v>9.4202898550724647</v>
      </c>
      <c r="H9" s="21">
        <v>23</v>
      </c>
      <c r="I9" s="22">
        <f t="shared" si="4"/>
        <v>8.8461538461538467</v>
      </c>
      <c r="J9" s="21">
        <v>22</v>
      </c>
      <c r="K9" s="22">
        <f t="shared" si="5"/>
        <v>7.5601374570446733</v>
      </c>
    </row>
    <row r="10" spans="1:12" ht="20.100000000000001" customHeight="1">
      <c r="A10" s="27" t="s">
        <v>113</v>
      </c>
      <c r="B10" s="21">
        <v>3</v>
      </c>
      <c r="C10" s="22">
        <f t="shared" si="1"/>
        <v>0.77922077922077926</v>
      </c>
      <c r="D10" s="21">
        <v>13</v>
      </c>
      <c r="E10" s="22">
        <f t="shared" si="2"/>
        <v>3.201970443349754</v>
      </c>
      <c r="F10" s="21">
        <v>5</v>
      </c>
      <c r="G10" s="22">
        <f t="shared" si="3"/>
        <v>1.8115942028985508</v>
      </c>
      <c r="H10" s="21">
        <v>2</v>
      </c>
      <c r="I10" s="22">
        <f t="shared" si="4"/>
        <v>0.76923076923076927</v>
      </c>
      <c r="J10" s="21">
        <v>9</v>
      </c>
      <c r="K10" s="22">
        <f t="shared" si="5"/>
        <v>3.0927835051546393</v>
      </c>
    </row>
    <row r="11" spans="1:12" ht="20.100000000000001" customHeight="1" thickBot="1">
      <c r="A11" s="27" t="s">
        <v>114</v>
      </c>
      <c r="B11" s="28" t="s">
        <v>640</v>
      </c>
      <c r="C11" s="71" t="s">
        <v>640</v>
      </c>
      <c r="D11" s="28" t="s">
        <v>640</v>
      </c>
      <c r="E11" s="71" t="s">
        <v>640</v>
      </c>
      <c r="F11" s="28" t="s">
        <v>640</v>
      </c>
      <c r="G11" s="71" t="s">
        <v>640</v>
      </c>
      <c r="H11" s="28" t="s">
        <v>640</v>
      </c>
      <c r="I11" s="71" t="s">
        <v>640</v>
      </c>
      <c r="J11" s="28" t="s">
        <v>640</v>
      </c>
      <c r="K11" s="71" t="s">
        <v>640</v>
      </c>
    </row>
    <row r="12" spans="1:12" ht="20.100000000000001" customHeight="1">
      <c r="A12" s="234"/>
      <c r="B12" s="462" t="s">
        <v>115</v>
      </c>
      <c r="C12" s="451"/>
      <c r="D12" s="462" t="s">
        <v>116</v>
      </c>
      <c r="E12" s="451"/>
      <c r="F12" s="462" t="s">
        <v>117</v>
      </c>
      <c r="G12" s="451"/>
      <c r="H12" s="462" t="s">
        <v>118</v>
      </c>
      <c r="I12" s="450"/>
      <c r="J12" s="464" t="s">
        <v>119</v>
      </c>
      <c r="K12" s="484"/>
    </row>
    <row r="13" spans="1:12" ht="20.100000000000001" customHeight="1">
      <c r="A13" s="233"/>
      <c r="B13" s="230" t="s">
        <v>105</v>
      </c>
      <c r="C13" s="230" t="s">
        <v>106</v>
      </c>
      <c r="D13" s="230" t="s">
        <v>105</v>
      </c>
      <c r="E13" s="230" t="s">
        <v>106</v>
      </c>
      <c r="F13" s="230" t="s">
        <v>105</v>
      </c>
      <c r="G13" s="230" t="s">
        <v>106</v>
      </c>
      <c r="H13" s="230" t="s">
        <v>105</v>
      </c>
      <c r="I13" s="230" t="s">
        <v>106</v>
      </c>
      <c r="J13" s="230" t="s">
        <v>105</v>
      </c>
      <c r="K13" s="230" t="s">
        <v>106</v>
      </c>
    </row>
    <row r="14" spans="1:12" ht="20.100000000000001" customHeight="1">
      <c r="A14" s="231" t="s">
        <v>107</v>
      </c>
      <c r="B14" s="21">
        <f>SUM(B17:B21)</f>
        <v>324</v>
      </c>
      <c r="C14" s="22">
        <f t="shared" ref="C14:I14" si="6">SUM(C17:C21)</f>
        <v>100</v>
      </c>
      <c r="D14" s="21">
        <f t="shared" si="6"/>
        <v>233</v>
      </c>
      <c r="E14" s="22">
        <f t="shared" si="6"/>
        <v>100</v>
      </c>
      <c r="F14" s="32">
        <f t="shared" si="6"/>
        <v>301</v>
      </c>
      <c r="G14" s="33">
        <f t="shared" si="6"/>
        <v>100</v>
      </c>
      <c r="H14" s="32">
        <f t="shared" si="6"/>
        <v>347</v>
      </c>
      <c r="I14" s="33">
        <f t="shared" si="6"/>
        <v>99.999999999999986</v>
      </c>
      <c r="J14" s="231">
        <f>SUM(J17:J21)</f>
        <v>379</v>
      </c>
      <c r="K14" s="87">
        <f>SUM(K17:K21)</f>
        <v>100.00000000000001</v>
      </c>
    </row>
    <row r="15" spans="1:12" ht="20.100000000000001" customHeight="1">
      <c r="A15" s="60" t="s">
        <v>108</v>
      </c>
      <c r="B15" s="21">
        <v>299</v>
      </c>
      <c r="C15" s="22">
        <f>IFERROR(B15/B$14*100,"-")</f>
        <v>92.283950617283949</v>
      </c>
      <c r="D15" s="21">
        <v>207</v>
      </c>
      <c r="E15" s="22">
        <f>IFERROR(D15/D$14*100,"-")</f>
        <v>88.841201716738198</v>
      </c>
      <c r="F15" s="104">
        <v>284</v>
      </c>
      <c r="G15" s="22">
        <f>IFERROR(F15/F$14*100,"-")</f>
        <v>94.352159468438529</v>
      </c>
      <c r="H15" s="104">
        <v>322</v>
      </c>
      <c r="I15" s="22">
        <f>IFERROR(H15/H$14*100,"-")</f>
        <v>92.795389048991353</v>
      </c>
      <c r="J15" s="231">
        <v>353</v>
      </c>
      <c r="K15" s="87">
        <f>IFERROR(J15/J$14*100,"-")</f>
        <v>93.139841688654357</v>
      </c>
    </row>
    <row r="16" spans="1:12" ht="20.100000000000001" customHeight="1">
      <c r="A16" s="62" t="s">
        <v>109</v>
      </c>
      <c r="B16" s="25">
        <v>25</v>
      </c>
      <c r="C16" s="26">
        <f t="shared" ref="C16:C21" si="7">IFERROR(B16/B$14*100,"-")</f>
        <v>7.716049382716049</v>
      </c>
      <c r="D16" s="25">
        <v>26</v>
      </c>
      <c r="E16" s="26">
        <f t="shared" ref="E16:E21" si="8">IFERROR(D16/D$14*100,"-")</f>
        <v>11.158798283261802</v>
      </c>
      <c r="F16" s="229">
        <v>17</v>
      </c>
      <c r="G16" s="26">
        <f t="shared" ref="G16:G21" si="9">IFERROR(F16/F$14*100,"-")</f>
        <v>5.6478405315614619</v>
      </c>
      <c r="H16" s="229">
        <v>25</v>
      </c>
      <c r="I16" s="26">
        <f t="shared" ref="I16:I21" si="10">IFERROR(H16/H$14*100,"-")</f>
        <v>7.2046109510086458</v>
      </c>
      <c r="J16" s="94">
        <v>26</v>
      </c>
      <c r="K16" s="95">
        <f t="shared" ref="K16:K21" si="11">IFERROR(J16/J$14*100,"-")</f>
        <v>6.8601583113456464</v>
      </c>
    </row>
    <row r="17" spans="1:11" ht="20.100000000000001" customHeight="1">
      <c r="A17" s="37" t="s">
        <v>110</v>
      </c>
      <c r="B17" s="21">
        <v>187</v>
      </c>
      <c r="C17" s="22">
        <f t="shared" si="7"/>
        <v>57.716049382716051</v>
      </c>
      <c r="D17" s="21">
        <v>144</v>
      </c>
      <c r="E17" s="22">
        <f t="shared" si="8"/>
        <v>61.802575107296143</v>
      </c>
      <c r="F17" s="247">
        <f>166+14</f>
        <v>180</v>
      </c>
      <c r="G17" s="22">
        <f t="shared" si="9"/>
        <v>59.800664451827245</v>
      </c>
      <c r="H17" s="104">
        <v>197</v>
      </c>
      <c r="I17" s="22">
        <f t="shared" si="10"/>
        <v>56.77233429394812</v>
      </c>
      <c r="J17" s="231">
        <v>227</v>
      </c>
      <c r="K17" s="87">
        <f t="shared" si="11"/>
        <v>59.894459102902374</v>
      </c>
    </row>
    <row r="18" spans="1:11" ht="20.100000000000001" customHeight="1">
      <c r="A18" s="27" t="s">
        <v>111</v>
      </c>
      <c r="B18" s="21">
        <v>100</v>
      </c>
      <c r="C18" s="22">
        <f t="shared" si="7"/>
        <v>30.864197530864196</v>
      </c>
      <c r="D18" s="21">
        <v>59</v>
      </c>
      <c r="E18" s="22">
        <f t="shared" si="8"/>
        <v>25.321888412017167</v>
      </c>
      <c r="F18" s="104">
        <f>88+1</f>
        <v>89</v>
      </c>
      <c r="G18" s="22">
        <f t="shared" si="9"/>
        <v>29.568106312292358</v>
      </c>
      <c r="H18" s="104">
        <v>103</v>
      </c>
      <c r="I18" s="22">
        <f t="shared" si="10"/>
        <v>29.682997118155619</v>
      </c>
      <c r="J18" s="231">
        <v>100</v>
      </c>
      <c r="K18" s="87">
        <f t="shared" si="11"/>
        <v>26.385224274406333</v>
      </c>
    </row>
    <row r="19" spans="1:11" ht="20.100000000000001" customHeight="1">
      <c r="A19" s="27" t="s">
        <v>112</v>
      </c>
      <c r="B19" s="21">
        <v>28</v>
      </c>
      <c r="C19" s="22">
        <f t="shared" si="7"/>
        <v>8.6419753086419746</v>
      </c>
      <c r="D19" s="21">
        <v>25</v>
      </c>
      <c r="E19" s="22">
        <f t="shared" si="8"/>
        <v>10.72961373390558</v>
      </c>
      <c r="F19" s="104">
        <f>21+2</f>
        <v>23</v>
      </c>
      <c r="G19" s="22">
        <f t="shared" si="9"/>
        <v>7.6411960132890364</v>
      </c>
      <c r="H19" s="104">
        <v>40</v>
      </c>
      <c r="I19" s="22">
        <f t="shared" si="10"/>
        <v>11.527377521613833</v>
      </c>
      <c r="J19" s="231">
        <v>49</v>
      </c>
      <c r="K19" s="87">
        <f t="shared" si="11"/>
        <v>12.928759894459102</v>
      </c>
    </row>
    <row r="20" spans="1:11" ht="20.100000000000001" customHeight="1">
      <c r="A20" s="27" t="s">
        <v>113</v>
      </c>
      <c r="B20" s="21">
        <v>7</v>
      </c>
      <c r="C20" s="22">
        <f t="shared" si="7"/>
        <v>2.1604938271604937</v>
      </c>
      <c r="D20" s="21">
        <v>3</v>
      </c>
      <c r="E20" s="22">
        <f t="shared" si="8"/>
        <v>1.2875536480686696</v>
      </c>
      <c r="F20" s="104">
        <v>4</v>
      </c>
      <c r="G20" s="22">
        <f t="shared" si="9"/>
        <v>1.3289036544850499</v>
      </c>
      <c r="H20" s="104">
        <v>5</v>
      </c>
      <c r="I20" s="22">
        <f t="shared" si="10"/>
        <v>1.4409221902017291</v>
      </c>
      <c r="J20" s="231">
        <v>2</v>
      </c>
      <c r="K20" s="87">
        <f t="shared" si="11"/>
        <v>0.52770448548812665</v>
      </c>
    </row>
    <row r="21" spans="1:11" ht="20.100000000000001" customHeight="1">
      <c r="A21" s="38" t="s">
        <v>114</v>
      </c>
      <c r="B21" s="25">
        <v>2</v>
      </c>
      <c r="C21" s="26">
        <f t="shared" si="7"/>
        <v>0.61728395061728392</v>
      </c>
      <c r="D21" s="25">
        <v>2</v>
      </c>
      <c r="E21" s="26">
        <f t="shared" si="8"/>
        <v>0.85836909871244638</v>
      </c>
      <c r="F21" s="229">
        <v>5</v>
      </c>
      <c r="G21" s="26">
        <f t="shared" si="9"/>
        <v>1.6611295681063125</v>
      </c>
      <c r="H21" s="229">
        <v>2</v>
      </c>
      <c r="I21" s="26">
        <f t="shared" si="10"/>
        <v>0.57636887608069165</v>
      </c>
      <c r="J21" s="94">
        <v>1</v>
      </c>
      <c r="K21" s="95">
        <f t="shared" si="11"/>
        <v>0.26385224274406333</v>
      </c>
    </row>
    <row r="22" spans="1:11" ht="15" customHeight="1">
      <c r="A22" s="483" t="s">
        <v>120</v>
      </c>
      <c r="B22" s="483"/>
      <c r="C22" s="483"/>
      <c r="D22" s="483"/>
      <c r="E22" s="483"/>
      <c r="F22" s="483"/>
      <c r="G22" s="483"/>
      <c r="H22" s="483"/>
      <c r="I22" s="14"/>
      <c r="J22" s="14"/>
      <c r="K22" s="14"/>
    </row>
    <row r="23" spans="1:11" ht="32.1" customHeight="1">
      <c r="A23" s="483"/>
      <c r="B23" s="483"/>
      <c r="C23" s="483"/>
      <c r="D23" s="483"/>
      <c r="E23" s="483"/>
      <c r="F23" s="483"/>
      <c r="G23" s="483"/>
      <c r="H23" s="483"/>
      <c r="I23" s="14"/>
      <c r="J23" s="14"/>
      <c r="K23" s="14"/>
    </row>
  </sheetData>
  <mergeCells count="12">
    <mergeCell ref="A1:K1"/>
    <mergeCell ref="A22:H23"/>
    <mergeCell ref="B12:C12"/>
    <mergeCell ref="J2:K2"/>
    <mergeCell ref="H2:I2"/>
    <mergeCell ref="F2:G2"/>
    <mergeCell ref="D2:E2"/>
    <mergeCell ref="B2:C2"/>
    <mergeCell ref="D12:E12"/>
    <mergeCell ref="F12:G12"/>
    <mergeCell ref="H12:I12"/>
    <mergeCell ref="J12:K12"/>
  </mergeCells>
  <phoneticPr fontId="2" type="noConversion"/>
  <hyperlinks>
    <hyperlink ref="L1" location="本篇表次!A1" display="回本篇表次"/>
  </hyperlinks>
  <printOptions horizontalCentered="1" verticalCentered="1"/>
  <pageMargins left="0.70866141732283472" right="0.70866141732283472" top="0.74803149606299213" bottom="0.74803149606299213" header="0.31496062992125984" footer="0.31496062992125984"/>
  <pageSetup paperSize="224" scale="83"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20"/>
  <sheetViews>
    <sheetView showGridLines="0" workbookViewId="0">
      <pane xSplit="1" topLeftCell="B1" activePane="topRight" state="frozen"/>
      <selection pane="topRight" activeCell="L1" sqref="L1"/>
    </sheetView>
  </sheetViews>
  <sheetFormatPr defaultColWidth="9" defaultRowHeight="16.5"/>
  <cols>
    <col min="1" max="1" width="15" customWidth="1"/>
    <col min="3" max="3" width="9" customWidth="1"/>
    <col min="5" max="5" width="9" customWidth="1"/>
    <col min="7" max="7" width="9" customWidth="1"/>
    <col min="9" max="9" width="9" customWidth="1"/>
    <col min="11" max="11" width="9" customWidth="1"/>
    <col min="12" max="12" width="12.625" bestFit="1" customWidth="1"/>
  </cols>
  <sheetData>
    <row r="1" spans="1:12" ht="24" customHeight="1">
      <c r="A1" s="486" t="s">
        <v>655</v>
      </c>
      <c r="B1" s="486"/>
      <c r="C1" s="486"/>
      <c r="D1" s="486"/>
      <c r="E1" s="486"/>
      <c r="F1" s="486"/>
      <c r="G1" s="486"/>
      <c r="H1" s="486"/>
      <c r="I1" s="486"/>
      <c r="J1" s="486"/>
      <c r="K1" s="486"/>
      <c r="L1" s="348" t="s">
        <v>644</v>
      </c>
    </row>
    <row r="2" spans="1:12" ht="18.95" customHeight="1">
      <c r="A2" s="248"/>
      <c r="B2" s="487" t="s">
        <v>126</v>
      </c>
      <c r="C2" s="487"/>
      <c r="D2" s="487" t="s">
        <v>141</v>
      </c>
      <c r="E2" s="487"/>
      <c r="F2" s="487" t="s">
        <v>127</v>
      </c>
      <c r="G2" s="487"/>
      <c r="H2" s="487" t="s">
        <v>128</v>
      </c>
      <c r="I2" s="487"/>
      <c r="J2" s="487" t="s">
        <v>140</v>
      </c>
      <c r="K2" s="487"/>
    </row>
    <row r="3" spans="1:12" ht="18.95" customHeight="1">
      <c r="A3" s="249"/>
      <c r="B3" s="235" t="s">
        <v>129</v>
      </c>
      <c r="C3" s="235" t="s">
        <v>121</v>
      </c>
      <c r="D3" s="235" t="s">
        <v>129</v>
      </c>
      <c r="E3" s="235" t="s">
        <v>121</v>
      </c>
      <c r="F3" s="235" t="s">
        <v>129</v>
      </c>
      <c r="G3" s="235" t="s">
        <v>121</v>
      </c>
      <c r="H3" s="235" t="s">
        <v>129</v>
      </c>
      <c r="I3" s="235" t="s">
        <v>121</v>
      </c>
      <c r="J3" s="235" t="s">
        <v>129</v>
      </c>
      <c r="K3" s="235" t="s">
        <v>121</v>
      </c>
    </row>
    <row r="4" spans="1:12" ht="18.95" customHeight="1">
      <c r="A4" s="159" t="s">
        <v>130</v>
      </c>
      <c r="B4" s="249">
        <v>388</v>
      </c>
      <c r="C4" s="250">
        <v>100</v>
      </c>
      <c r="D4" s="249">
        <v>409</v>
      </c>
      <c r="E4" s="250">
        <v>100</v>
      </c>
      <c r="F4" s="249">
        <v>279</v>
      </c>
      <c r="G4" s="250">
        <v>100</v>
      </c>
      <c r="H4" s="45">
        <v>261</v>
      </c>
      <c r="I4" s="46">
        <v>100.00000000000001</v>
      </c>
      <c r="J4" s="249">
        <v>293</v>
      </c>
      <c r="K4" s="250">
        <v>100</v>
      </c>
    </row>
    <row r="5" spans="1:12" ht="18.95" customHeight="1">
      <c r="A5" s="159" t="s">
        <v>131</v>
      </c>
      <c r="B5" s="249">
        <v>325</v>
      </c>
      <c r="C5" s="250">
        <v>83.762886597938149</v>
      </c>
      <c r="D5" s="249">
        <v>346</v>
      </c>
      <c r="E5" s="250">
        <v>84.59657701711491</v>
      </c>
      <c r="F5" s="249">
        <v>246</v>
      </c>
      <c r="G5" s="250">
        <v>88.172043010752688</v>
      </c>
      <c r="H5" s="45">
        <v>229</v>
      </c>
      <c r="I5" s="46">
        <v>87.739463601532563</v>
      </c>
      <c r="J5" s="249">
        <v>255</v>
      </c>
      <c r="K5" s="250">
        <v>87.030716723549489</v>
      </c>
    </row>
    <row r="6" spans="1:12" ht="18.95" customHeight="1">
      <c r="A6" s="159" t="s">
        <v>132</v>
      </c>
      <c r="B6" s="249">
        <v>42</v>
      </c>
      <c r="C6" s="250">
        <v>10.824742268041238</v>
      </c>
      <c r="D6" s="249">
        <v>37</v>
      </c>
      <c r="E6" s="250">
        <v>9.0464547677261606</v>
      </c>
      <c r="F6" s="249">
        <v>20</v>
      </c>
      <c r="G6" s="250">
        <v>7.1684587813620064</v>
      </c>
      <c r="H6" s="45">
        <v>21</v>
      </c>
      <c r="I6" s="46">
        <v>8.0459770114942533</v>
      </c>
      <c r="J6" s="249">
        <v>25</v>
      </c>
      <c r="K6" s="250">
        <v>8.5324232081911262</v>
      </c>
    </row>
    <row r="7" spans="1:12" ht="18.95" customHeight="1">
      <c r="A7" s="159" t="s">
        <v>142</v>
      </c>
      <c r="B7" s="249">
        <v>6</v>
      </c>
      <c r="C7" s="250">
        <v>1.5463917525773196</v>
      </c>
      <c r="D7" s="249">
        <v>8</v>
      </c>
      <c r="E7" s="250">
        <v>1.9559902200488997</v>
      </c>
      <c r="F7" s="249">
        <v>3</v>
      </c>
      <c r="G7" s="250">
        <v>1.0752688172043012</v>
      </c>
      <c r="H7" s="45">
        <v>4</v>
      </c>
      <c r="I7" s="46">
        <v>1.5325670498084289</v>
      </c>
      <c r="J7" s="249">
        <v>3</v>
      </c>
      <c r="K7" s="250">
        <v>1.0238907849829351</v>
      </c>
    </row>
    <row r="8" spans="1:12" ht="18.95" customHeight="1">
      <c r="A8" s="159" t="s">
        <v>133</v>
      </c>
      <c r="B8" s="249">
        <v>15</v>
      </c>
      <c r="C8" s="250">
        <v>3.865979381443299</v>
      </c>
      <c r="D8" s="249">
        <v>13</v>
      </c>
      <c r="E8" s="250">
        <v>3.1784841075794623</v>
      </c>
      <c r="F8" s="249">
        <v>6</v>
      </c>
      <c r="G8" s="250">
        <v>2.1505376344086025</v>
      </c>
      <c r="H8" s="45">
        <v>7</v>
      </c>
      <c r="I8" s="46">
        <v>2.6819923371647509</v>
      </c>
      <c r="J8" s="249">
        <v>9</v>
      </c>
      <c r="K8" s="250">
        <v>3.0716723549488054</v>
      </c>
    </row>
    <row r="9" spans="1:12" ht="18.95" customHeight="1" thickBot="1">
      <c r="A9" s="160" t="s">
        <v>134</v>
      </c>
      <c r="B9" s="47" t="s">
        <v>77</v>
      </c>
      <c r="C9" s="48" t="s">
        <v>77</v>
      </c>
      <c r="D9" s="251">
        <v>5</v>
      </c>
      <c r="E9" s="252">
        <v>1.2224938875305624</v>
      </c>
      <c r="F9" s="251">
        <v>4</v>
      </c>
      <c r="G9" s="252">
        <v>1.4336917562724014</v>
      </c>
      <c r="H9" s="47" t="s">
        <v>77</v>
      </c>
      <c r="I9" s="48" t="s">
        <v>77</v>
      </c>
      <c r="J9" s="251">
        <v>1</v>
      </c>
      <c r="K9" s="252">
        <v>0.34129692832764508</v>
      </c>
    </row>
    <row r="10" spans="1:12" ht="18.95" customHeight="1">
      <c r="A10" s="159"/>
      <c r="B10" s="485" t="s">
        <v>135</v>
      </c>
      <c r="C10" s="485"/>
      <c r="D10" s="485" t="s">
        <v>136</v>
      </c>
      <c r="E10" s="485"/>
      <c r="F10" s="485" t="s">
        <v>137</v>
      </c>
      <c r="G10" s="453"/>
      <c r="H10" s="485" t="s">
        <v>138</v>
      </c>
      <c r="I10" s="453"/>
      <c r="J10" s="485" t="s">
        <v>139</v>
      </c>
      <c r="K10" s="453"/>
    </row>
    <row r="11" spans="1:12" ht="18.95" customHeight="1">
      <c r="A11" s="159"/>
      <c r="B11" s="49" t="s">
        <v>129</v>
      </c>
      <c r="C11" s="49" t="s">
        <v>121</v>
      </c>
      <c r="D11" s="49" t="s">
        <v>129</v>
      </c>
      <c r="E11" s="49" t="s">
        <v>121</v>
      </c>
      <c r="F11" s="49" t="s">
        <v>129</v>
      </c>
      <c r="G11" s="49" t="s">
        <v>121</v>
      </c>
      <c r="H11" s="49" t="s">
        <v>129</v>
      </c>
      <c r="I11" s="49" t="s">
        <v>121</v>
      </c>
      <c r="J11" s="49" t="s">
        <v>129</v>
      </c>
      <c r="K11" s="49" t="s">
        <v>121</v>
      </c>
    </row>
    <row r="12" spans="1:12" ht="18.95" customHeight="1">
      <c r="A12" s="159" t="s">
        <v>130</v>
      </c>
      <c r="B12" s="249">
        <v>325</v>
      </c>
      <c r="C12" s="250">
        <v>100</v>
      </c>
      <c r="D12" s="249">
        <v>236</v>
      </c>
      <c r="E12" s="250">
        <v>100</v>
      </c>
      <c r="F12" s="249">
        <v>301</v>
      </c>
      <c r="G12" s="250">
        <v>100</v>
      </c>
      <c r="H12" s="249">
        <v>350</v>
      </c>
      <c r="I12" s="250">
        <v>100</v>
      </c>
      <c r="J12" s="249">
        <v>381</v>
      </c>
      <c r="K12" s="250">
        <v>100</v>
      </c>
    </row>
    <row r="13" spans="1:12" ht="18.95" customHeight="1">
      <c r="A13" s="159" t="s">
        <v>131</v>
      </c>
      <c r="B13" s="249">
        <v>283</v>
      </c>
      <c r="C13" s="250">
        <v>87.07692307692308</v>
      </c>
      <c r="D13" s="249">
        <v>202</v>
      </c>
      <c r="E13" s="250">
        <v>85.593220338983059</v>
      </c>
      <c r="F13" s="249">
        <v>263</v>
      </c>
      <c r="G13" s="250">
        <v>87.375415282392026</v>
      </c>
      <c r="H13" s="249">
        <v>298</v>
      </c>
      <c r="I13" s="250">
        <v>85.142857142857139</v>
      </c>
      <c r="J13" s="249">
        <v>329</v>
      </c>
      <c r="K13" s="250">
        <v>86.351706036745398</v>
      </c>
    </row>
    <row r="14" spans="1:12" ht="18.95" customHeight="1">
      <c r="A14" s="159" t="s">
        <v>132</v>
      </c>
      <c r="B14" s="249">
        <v>25</v>
      </c>
      <c r="C14" s="250">
        <v>7.6923076923076925</v>
      </c>
      <c r="D14" s="249">
        <v>22</v>
      </c>
      <c r="E14" s="250">
        <v>9.3220338983050848</v>
      </c>
      <c r="F14" s="249">
        <v>30</v>
      </c>
      <c r="G14" s="250">
        <v>9.9667774086378742</v>
      </c>
      <c r="H14" s="249">
        <v>37</v>
      </c>
      <c r="I14" s="250">
        <v>10.571428571428571</v>
      </c>
      <c r="J14" s="249">
        <v>33</v>
      </c>
      <c r="K14" s="250">
        <v>8.6614173228346463</v>
      </c>
    </row>
    <row r="15" spans="1:12" ht="18.95" customHeight="1">
      <c r="A15" s="159" t="s">
        <v>142</v>
      </c>
      <c r="B15" s="249">
        <v>6</v>
      </c>
      <c r="C15" s="250">
        <v>1.8461538461538463</v>
      </c>
      <c r="D15" s="249">
        <v>4</v>
      </c>
      <c r="E15" s="250">
        <v>1.6949152542372881</v>
      </c>
      <c r="F15" s="249">
        <v>4</v>
      </c>
      <c r="G15" s="250">
        <v>1.3289036544850499</v>
      </c>
      <c r="H15" s="249">
        <v>12</v>
      </c>
      <c r="I15" s="250">
        <v>3.4285714285714288</v>
      </c>
      <c r="J15" s="249">
        <v>13</v>
      </c>
      <c r="K15" s="250">
        <v>3.4120734908136483</v>
      </c>
    </row>
    <row r="16" spans="1:12" ht="18.95" customHeight="1">
      <c r="A16" s="159" t="s">
        <v>133</v>
      </c>
      <c r="B16" s="249">
        <v>10</v>
      </c>
      <c r="C16" s="250">
        <v>3.0769230769230771</v>
      </c>
      <c r="D16" s="249">
        <v>5</v>
      </c>
      <c r="E16" s="250">
        <v>2.1186440677966099</v>
      </c>
      <c r="F16" s="249">
        <v>4</v>
      </c>
      <c r="G16" s="250">
        <v>1.3289036544850499</v>
      </c>
      <c r="H16" s="249">
        <v>3</v>
      </c>
      <c r="I16" s="250">
        <v>0.85714285714285721</v>
      </c>
      <c r="J16" s="249">
        <v>6</v>
      </c>
      <c r="K16" s="250">
        <v>1.5748031496062991</v>
      </c>
    </row>
    <row r="17" spans="1:11" ht="18.95" customHeight="1">
      <c r="A17" s="161" t="s">
        <v>134</v>
      </c>
      <c r="B17" s="253">
        <v>1</v>
      </c>
      <c r="C17" s="254">
        <v>0.30769230769230771</v>
      </c>
      <c r="D17" s="253">
        <v>3</v>
      </c>
      <c r="E17" s="254">
        <v>1.2711864406779663</v>
      </c>
      <c r="F17" s="82" t="s">
        <v>77</v>
      </c>
      <c r="G17" s="257" t="s">
        <v>77</v>
      </c>
      <c r="H17" s="82" t="s">
        <v>77</v>
      </c>
      <c r="I17" s="257" t="s">
        <v>77</v>
      </c>
      <c r="J17" s="82" t="s">
        <v>77</v>
      </c>
      <c r="K17" s="257" t="s">
        <v>77</v>
      </c>
    </row>
    <row r="18" spans="1:11">
      <c r="A18" s="255" t="s">
        <v>641</v>
      </c>
      <c r="B18" s="43"/>
      <c r="C18" s="43"/>
      <c r="D18" s="43"/>
      <c r="E18" s="43"/>
      <c r="F18" s="43"/>
      <c r="G18" s="43"/>
      <c r="H18" s="43"/>
      <c r="I18" s="43"/>
      <c r="J18" s="43"/>
      <c r="K18" s="43"/>
    </row>
    <row r="19" spans="1:11">
      <c r="A19" s="256" t="s">
        <v>642</v>
      </c>
      <c r="B19" s="43"/>
      <c r="C19" s="43"/>
      <c r="D19" s="43"/>
      <c r="E19" s="43"/>
      <c r="F19" s="43"/>
      <c r="G19" s="43"/>
      <c r="H19" s="43"/>
      <c r="I19" s="43"/>
      <c r="J19" s="43"/>
      <c r="K19" s="43"/>
    </row>
    <row r="20" spans="1:11">
      <c r="A20" s="42"/>
      <c r="B20" s="42"/>
      <c r="C20" s="42"/>
      <c r="D20" s="42"/>
      <c r="E20" s="42"/>
      <c r="F20" s="42"/>
      <c r="G20" s="42"/>
      <c r="H20" s="42"/>
      <c r="I20" s="42"/>
      <c r="J20" s="42"/>
      <c r="K20" s="42"/>
    </row>
  </sheetData>
  <mergeCells count="11">
    <mergeCell ref="A1:K1"/>
    <mergeCell ref="B2:C2"/>
    <mergeCell ref="D2:E2"/>
    <mergeCell ref="F2:G2"/>
    <mergeCell ref="H2:I2"/>
    <mergeCell ref="J2:K2"/>
    <mergeCell ref="B10:C10"/>
    <mergeCell ref="D10:E10"/>
    <mergeCell ref="F10:G10"/>
    <mergeCell ref="H10:I10"/>
    <mergeCell ref="J10:K10"/>
  </mergeCells>
  <phoneticPr fontId="2" type="noConversion"/>
  <hyperlinks>
    <hyperlink ref="L1" location="本篇表次!A1" display="回本篇表次"/>
  </hyperlinks>
  <printOptions horizontalCentered="1" verticalCentered="1"/>
  <pageMargins left="0.70866141732283472" right="0.70866141732283472" top="0.74803149606299213" bottom="0.74803149606299213" header="0.31496062992125984" footer="0.31496062992125984"/>
  <pageSetup paperSize="224" scale="92"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23"/>
  <sheetViews>
    <sheetView showGridLines="0" workbookViewId="0">
      <pane xSplit="1" topLeftCell="B1" activePane="topRight" state="frozen"/>
      <selection pane="topRight" activeCell="L1" sqref="L1"/>
    </sheetView>
  </sheetViews>
  <sheetFormatPr defaultColWidth="9" defaultRowHeight="16.5"/>
  <cols>
    <col min="1" max="1" width="15.875" customWidth="1"/>
    <col min="12" max="12" width="12.625" bestFit="1" customWidth="1"/>
  </cols>
  <sheetData>
    <row r="1" spans="1:12" ht="23.1" customHeight="1">
      <c r="A1" s="407" t="s">
        <v>143</v>
      </c>
      <c r="B1" s="407"/>
      <c r="C1" s="407"/>
      <c r="D1" s="407"/>
      <c r="E1" s="407"/>
      <c r="F1" s="407"/>
      <c r="G1" s="407"/>
      <c r="H1" s="407"/>
      <c r="I1" s="407"/>
      <c r="J1" s="407"/>
      <c r="K1" s="407"/>
      <c r="L1" s="348" t="s">
        <v>644</v>
      </c>
    </row>
    <row r="2" spans="1:12" ht="18.95" customHeight="1">
      <c r="A2" s="232"/>
      <c r="B2" s="378" t="s">
        <v>49</v>
      </c>
      <c r="C2" s="378"/>
      <c r="D2" s="378" t="s">
        <v>50</v>
      </c>
      <c r="E2" s="378"/>
      <c r="F2" s="378" t="s">
        <v>51</v>
      </c>
      <c r="G2" s="378"/>
      <c r="H2" s="378" t="s">
        <v>52</v>
      </c>
      <c r="I2" s="378"/>
      <c r="J2" s="378" t="s">
        <v>53</v>
      </c>
      <c r="K2" s="378"/>
    </row>
    <row r="3" spans="1:12" ht="18.95" customHeight="1">
      <c r="A3" s="233"/>
      <c r="B3" s="230" t="s">
        <v>122</v>
      </c>
      <c r="C3" s="230" t="s">
        <v>106</v>
      </c>
      <c r="D3" s="230" t="s">
        <v>122</v>
      </c>
      <c r="E3" s="230" t="s">
        <v>106</v>
      </c>
      <c r="F3" s="230" t="s">
        <v>122</v>
      </c>
      <c r="G3" s="230" t="s">
        <v>106</v>
      </c>
      <c r="H3" s="230" t="s">
        <v>122</v>
      </c>
      <c r="I3" s="230" t="s">
        <v>106</v>
      </c>
      <c r="J3" s="230" t="s">
        <v>122</v>
      </c>
      <c r="K3" s="230" t="s">
        <v>106</v>
      </c>
    </row>
    <row r="4" spans="1:12" ht="18.95" customHeight="1">
      <c r="A4" s="27" t="s">
        <v>65</v>
      </c>
      <c r="B4" s="21">
        <v>388</v>
      </c>
      <c r="C4" s="33">
        <f>SUM(C5:C11)</f>
        <v>99.999999999999972</v>
      </c>
      <c r="D4" s="21">
        <v>409</v>
      </c>
      <c r="E4" s="33">
        <f>SUM(E5:E11)</f>
        <v>99.999999999999986</v>
      </c>
      <c r="F4" s="21">
        <v>279</v>
      </c>
      <c r="G4" s="33">
        <f>SUM(G5:G11)</f>
        <v>100</v>
      </c>
      <c r="H4" s="21">
        <v>261</v>
      </c>
      <c r="I4" s="33">
        <f>SUM(I5:I11)</f>
        <v>100</v>
      </c>
      <c r="J4" s="21">
        <v>293</v>
      </c>
      <c r="K4" s="33">
        <f>SUM(K5:K11)</f>
        <v>99.999999999999986</v>
      </c>
    </row>
    <row r="5" spans="1:12" ht="18.95" customHeight="1">
      <c r="A5" s="27" t="s">
        <v>144</v>
      </c>
      <c r="B5" s="21">
        <v>136</v>
      </c>
      <c r="C5" s="39">
        <f>IFERROR(B5/B$4*100,"-")</f>
        <v>35.051546391752574</v>
      </c>
      <c r="D5" s="21">
        <v>152</v>
      </c>
      <c r="E5" s="39">
        <f>IFERROR(D5/D$4*100,"-")</f>
        <v>37.163814180929094</v>
      </c>
      <c r="F5" s="21">
        <v>111</v>
      </c>
      <c r="G5" s="39">
        <f t="shared" ref="G5:G11" si="0">IFERROR(F5/F$4*100,"-")</f>
        <v>39.784946236559136</v>
      </c>
      <c r="H5" s="21">
        <v>102</v>
      </c>
      <c r="I5" s="39">
        <f t="shared" ref="I5:I11" si="1">IFERROR(H5/H$4*100,"-")</f>
        <v>39.080459770114942</v>
      </c>
      <c r="J5" s="21">
        <v>135</v>
      </c>
      <c r="K5" s="39">
        <f t="shared" ref="K5:K11" si="2">IFERROR(J5/J$4*100,"-")</f>
        <v>46.075085324232084</v>
      </c>
    </row>
    <row r="6" spans="1:12" ht="18.95" customHeight="1">
      <c r="A6" s="27" t="s">
        <v>145</v>
      </c>
      <c r="B6" s="21">
        <v>171</v>
      </c>
      <c r="C6" s="39">
        <f t="shared" ref="C6:C11" si="3">IFERROR(B6/B$4*100,"-")</f>
        <v>44.072164948453604</v>
      </c>
      <c r="D6" s="21">
        <v>161</v>
      </c>
      <c r="E6" s="39">
        <f t="shared" ref="E6:E11" si="4">IFERROR(D6/D$4*100,"-")</f>
        <v>39.364303178484107</v>
      </c>
      <c r="F6" s="21">
        <v>102</v>
      </c>
      <c r="G6" s="39">
        <f t="shared" si="0"/>
        <v>36.55913978494624</v>
      </c>
      <c r="H6" s="21">
        <v>110</v>
      </c>
      <c r="I6" s="39">
        <f t="shared" si="1"/>
        <v>42.145593869731798</v>
      </c>
      <c r="J6" s="21">
        <v>103</v>
      </c>
      <c r="K6" s="39">
        <f t="shared" si="2"/>
        <v>35.153583617747444</v>
      </c>
    </row>
    <row r="7" spans="1:12" ht="18.95" customHeight="1">
      <c r="A7" s="27" t="s">
        <v>147</v>
      </c>
      <c r="B7" s="21">
        <v>19</v>
      </c>
      <c r="C7" s="39">
        <f>IFERROR(B7/B$4*100,"-")</f>
        <v>4.8969072164948457</v>
      </c>
      <c r="D7" s="21">
        <v>19</v>
      </c>
      <c r="E7" s="39">
        <f>IFERROR(D7/D$4*100,"-")</f>
        <v>4.6454767726161368</v>
      </c>
      <c r="F7" s="21">
        <v>12</v>
      </c>
      <c r="G7" s="39">
        <f>IFERROR(F7/F$4*100,"-")</f>
        <v>4.3010752688172049</v>
      </c>
      <c r="H7" s="21">
        <v>12</v>
      </c>
      <c r="I7" s="39">
        <f>IFERROR(H7/H$4*100,"-")</f>
        <v>4.5977011494252871</v>
      </c>
      <c r="J7" s="21">
        <v>18</v>
      </c>
      <c r="K7" s="39">
        <f>IFERROR(J7/J$4*100,"-")</f>
        <v>6.1433447098976108</v>
      </c>
    </row>
    <row r="8" spans="1:12" ht="18.95" customHeight="1">
      <c r="A8" s="27" t="s">
        <v>148</v>
      </c>
      <c r="B8" s="21">
        <v>5</v>
      </c>
      <c r="C8" s="39">
        <f>IFERROR(B8/B$4*100,"-")</f>
        <v>1.2886597938144329</v>
      </c>
      <c r="D8" s="21">
        <v>16</v>
      </c>
      <c r="E8" s="39">
        <f>IFERROR(D8/D$4*100,"-")</f>
        <v>3.9119804400977993</v>
      </c>
      <c r="F8" s="21">
        <v>11</v>
      </c>
      <c r="G8" s="39">
        <f>IFERROR(F8/F$4*100,"-")</f>
        <v>3.9426523297491038</v>
      </c>
      <c r="H8" s="21">
        <v>7</v>
      </c>
      <c r="I8" s="39">
        <f>IFERROR(H8/H$4*100,"-")</f>
        <v>2.6819923371647509</v>
      </c>
      <c r="J8" s="21">
        <v>2</v>
      </c>
      <c r="K8" s="39">
        <f>IFERROR(J8/J$4*100,"-")</f>
        <v>0.68259385665529015</v>
      </c>
    </row>
    <row r="9" spans="1:12" ht="18.95" customHeight="1">
      <c r="A9" s="27" t="s">
        <v>146</v>
      </c>
      <c r="B9" s="21">
        <v>39</v>
      </c>
      <c r="C9" s="39">
        <f t="shared" si="3"/>
        <v>10.051546391752577</v>
      </c>
      <c r="D9" s="21">
        <v>29</v>
      </c>
      <c r="E9" s="39">
        <f t="shared" si="4"/>
        <v>7.0904645476772608</v>
      </c>
      <c r="F9" s="21">
        <v>22</v>
      </c>
      <c r="G9" s="39">
        <f t="shared" si="0"/>
        <v>7.8853046594982077</v>
      </c>
      <c r="H9" s="21">
        <v>13</v>
      </c>
      <c r="I9" s="39">
        <f t="shared" si="1"/>
        <v>4.980842911877394</v>
      </c>
      <c r="J9" s="21">
        <v>18</v>
      </c>
      <c r="K9" s="39">
        <f t="shared" si="2"/>
        <v>6.1433447098976108</v>
      </c>
    </row>
    <row r="10" spans="1:12" ht="18.95" customHeight="1">
      <c r="A10" s="27" t="s">
        <v>149</v>
      </c>
      <c r="B10" s="21">
        <v>4</v>
      </c>
      <c r="C10" s="39">
        <f t="shared" si="3"/>
        <v>1.0309278350515463</v>
      </c>
      <c r="D10" s="21">
        <v>5</v>
      </c>
      <c r="E10" s="39">
        <f t="shared" si="4"/>
        <v>1.2224938875305624</v>
      </c>
      <c r="F10" s="21">
        <v>1</v>
      </c>
      <c r="G10" s="39">
        <f t="shared" si="0"/>
        <v>0.35842293906810035</v>
      </c>
      <c r="H10" s="21">
        <v>4</v>
      </c>
      <c r="I10" s="39">
        <f t="shared" si="1"/>
        <v>1.5325670498084289</v>
      </c>
      <c r="J10" s="21">
        <v>3</v>
      </c>
      <c r="K10" s="39">
        <f t="shared" si="2"/>
        <v>1.0238907849829351</v>
      </c>
    </row>
    <row r="11" spans="1:12" ht="18.95" customHeight="1">
      <c r="A11" s="38" t="s">
        <v>44</v>
      </c>
      <c r="B11" s="25">
        <v>14</v>
      </c>
      <c r="C11" s="52">
        <f t="shared" si="3"/>
        <v>3.608247422680412</v>
      </c>
      <c r="D11" s="25">
        <v>27</v>
      </c>
      <c r="E11" s="52">
        <f t="shared" si="4"/>
        <v>6.6014669926650367</v>
      </c>
      <c r="F11" s="25">
        <v>20</v>
      </c>
      <c r="G11" s="52">
        <f t="shared" si="0"/>
        <v>7.1684587813620064</v>
      </c>
      <c r="H11" s="25">
        <v>13</v>
      </c>
      <c r="I11" s="52">
        <f t="shared" si="1"/>
        <v>4.980842911877394</v>
      </c>
      <c r="J11" s="25">
        <v>14</v>
      </c>
      <c r="K11" s="52">
        <f t="shared" si="2"/>
        <v>4.7781569965870307</v>
      </c>
    </row>
    <row r="12" spans="1:12" ht="18.95" customHeight="1">
      <c r="A12" s="233"/>
      <c r="B12" s="378" t="s">
        <v>54</v>
      </c>
      <c r="C12" s="452"/>
      <c r="D12" s="378" t="s">
        <v>55</v>
      </c>
      <c r="E12" s="452"/>
      <c r="F12" s="378" t="s">
        <v>56</v>
      </c>
      <c r="G12" s="452"/>
      <c r="H12" s="378" t="s">
        <v>123</v>
      </c>
      <c r="I12" s="378"/>
      <c r="J12" s="378" t="s">
        <v>58</v>
      </c>
      <c r="K12" s="378"/>
    </row>
    <row r="13" spans="1:12" ht="18.95" customHeight="1">
      <c r="A13" s="233"/>
      <c r="B13" s="230" t="s">
        <v>122</v>
      </c>
      <c r="C13" s="230" t="s">
        <v>106</v>
      </c>
      <c r="D13" s="230" t="s">
        <v>122</v>
      </c>
      <c r="E13" s="230" t="s">
        <v>106</v>
      </c>
      <c r="F13" s="230" t="s">
        <v>122</v>
      </c>
      <c r="G13" s="230" t="s">
        <v>106</v>
      </c>
      <c r="H13" s="230" t="s">
        <v>122</v>
      </c>
      <c r="I13" s="230" t="s">
        <v>106</v>
      </c>
      <c r="J13" s="230" t="s">
        <v>150</v>
      </c>
      <c r="K13" s="230" t="s">
        <v>106</v>
      </c>
    </row>
    <row r="14" spans="1:12" ht="18.95" customHeight="1">
      <c r="A14" s="27" t="s">
        <v>65</v>
      </c>
      <c r="B14" s="21">
        <v>325</v>
      </c>
      <c r="C14" s="33">
        <f>SUM(C15:C21)</f>
        <v>100</v>
      </c>
      <c r="D14" s="21">
        <v>236</v>
      </c>
      <c r="E14" s="33">
        <f t="shared" ref="E14:K14" si="5">SUM(E15:E21)</f>
        <v>99.999999999999986</v>
      </c>
      <c r="F14" s="12">
        <f t="shared" si="5"/>
        <v>301</v>
      </c>
      <c r="G14" s="33">
        <f t="shared" si="5"/>
        <v>100</v>
      </c>
      <c r="H14" s="12">
        <f t="shared" si="5"/>
        <v>350</v>
      </c>
      <c r="I14" s="33">
        <f t="shared" si="5"/>
        <v>100.00000000000001</v>
      </c>
      <c r="J14" s="12">
        <f t="shared" si="5"/>
        <v>381</v>
      </c>
      <c r="K14" s="33">
        <f t="shared" si="5"/>
        <v>99.999999999999986</v>
      </c>
    </row>
    <row r="15" spans="1:12" ht="18.95" customHeight="1">
      <c r="A15" s="27" t="s">
        <v>144</v>
      </c>
      <c r="B15" s="21">
        <v>143</v>
      </c>
      <c r="C15" s="39">
        <f t="shared" ref="C15:C20" si="6">IFERROR(B15/B$14*100,"-")</f>
        <v>44</v>
      </c>
      <c r="D15" s="21">
        <v>104</v>
      </c>
      <c r="E15" s="39">
        <f t="shared" ref="E15:E20" si="7">IFERROR(D15/D$14*100,"-")</f>
        <v>44.067796610169488</v>
      </c>
      <c r="F15" s="6">
        <v>118</v>
      </c>
      <c r="G15" s="39">
        <f t="shared" ref="G15:G20" si="8">IFERROR(F15/F$14*100,"-")</f>
        <v>39.202657807308974</v>
      </c>
      <c r="H15" s="6">
        <v>151</v>
      </c>
      <c r="I15" s="39">
        <f t="shared" ref="I15:I20" si="9">IFERROR(H15/H$14*100,"-")</f>
        <v>43.142857142857146</v>
      </c>
      <c r="J15" s="6">
        <v>179</v>
      </c>
      <c r="K15" s="39">
        <f t="shared" ref="K15:K20" si="10">IFERROR(J15/J$14*100,"-")</f>
        <v>46.981627296587924</v>
      </c>
    </row>
    <row r="16" spans="1:12" ht="18.95" customHeight="1">
      <c r="A16" s="27" t="s">
        <v>145</v>
      </c>
      <c r="B16" s="21">
        <v>110</v>
      </c>
      <c r="C16" s="39">
        <f t="shared" si="6"/>
        <v>33.846153846153847</v>
      </c>
      <c r="D16" s="21">
        <v>69</v>
      </c>
      <c r="E16" s="39">
        <f t="shared" si="7"/>
        <v>29.237288135593221</v>
      </c>
      <c r="F16" s="6">
        <v>107</v>
      </c>
      <c r="G16" s="39">
        <f t="shared" si="8"/>
        <v>35.548172757475086</v>
      </c>
      <c r="H16" s="6">
        <v>117</v>
      </c>
      <c r="I16" s="39">
        <f t="shared" si="9"/>
        <v>33.428571428571431</v>
      </c>
      <c r="J16" s="6">
        <v>124</v>
      </c>
      <c r="K16" s="39">
        <f t="shared" si="10"/>
        <v>32.54593175853018</v>
      </c>
    </row>
    <row r="17" spans="1:11" ht="18.95" customHeight="1">
      <c r="A17" s="27" t="s">
        <v>147</v>
      </c>
      <c r="B17" s="21">
        <v>25</v>
      </c>
      <c r="C17" s="39">
        <f t="shared" si="6"/>
        <v>7.6923076923076925</v>
      </c>
      <c r="D17" s="21">
        <v>18</v>
      </c>
      <c r="E17" s="39">
        <f t="shared" si="7"/>
        <v>7.6271186440677967</v>
      </c>
      <c r="F17" s="6">
        <v>21</v>
      </c>
      <c r="G17" s="39">
        <f t="shared" si="8"/>
        <v>6.9767441860465116</v>
      </c>
      <c r="H17" s="6">
        <v>20</v>
      </c>
      <c r="I17" s="39">
        <f t="shared" si="9"/>
        <v>5.7142857142857144</v>
      </c>
      <c r="J17" s="6">
        <v>22</v>
      </c>
      <c r="K17" s="39">
        <f t="shared" si="10"/>
        <v>5.7742782152230969</v>
      </c>
    </row>
    <row r="18" spans="1:11" ht="18.95" customHeight="1">
      <c r="A18" s="27" t="s">
        <v>148</v>
      </c>
      <c r="B18" s="21">
        <v>11</v>
      </c>
      <c r="C18" s="39">
        <f t="shared" si="6"/>
        <v>3.3846153846153846</v>
      </c>
      <c r="D18" s="21">
        <v>8</v>
      </c>
      <c r="E18" s="39">
        <f t="shared" si="7"/>
        <v>3.3898305084745761</v>
      </c>
      <c r="F18" s="6">
        <v>9</v>
      </c>
      <c r="G18" s="39">
        <f t="shared" si="8"/>
        <v>2.9900332225913622</v>
      </c>
      <c r="H18" s="6">
        <v>8</v>
      </c>
      <c r="I18" s="39">
        <f t="shared" si="9"/>
        <v>2.2857142857142856</v>
      </c>
      <c r="J18" s="6">
        <v>17</v>
      </c>
      <c r="K18" s="39">
        <f t="shared" si="10"/>
        <v>4.4619422572178475</v>
      </c>
    </row>
    <row r="19" spans="1:11" ht="18.95" customHeight="1">
      <c r="A19" s="27" t="s">
        <v>146</v>
      </c>
      <c r="B19" s="21">
        <v>23</v>
      </c>
      <c r="C19" s="39">
        <f t="shared" si="6"/>
        <v>7.0769230769230766</v>
      </c>
      <c r="D19" s="21">
        <v>18</v>
      </c>
      <c r="E19" s="39">
        <f t="shared" si="7"/>
        <v>7.6271186440677967</v>
      </c>
      <c r="F19" s="6">
        <v>26</v>
      </c>
      <c r="G19" s="39">
        <f t="shared" si="8"/>
        <v>8.6378737541528228</v>
      </c>
      <c r="H19" s="6">
        <v>22</v>
      </c>
      <c r="I19" s="39">
        <f t="shared" si="9"/>
        <v>6.2857142857142865</v>
      </c>
      <c r="J19" s="6">
        <v>14</v>
      </c>
      <c r="K19" s="39">
        <f t="shared" si="10"/>
        <v>3.674540682414698</v>
      </c>
    </row>
    <row r="20" spans="1:11" ht="18.95" customHeight="1">
      <c r="A20" s="27" t="s">
        <v>149</v>
      </c>
      <c r="B20" s="21">
        <v>3</v>
      </c>
      <c r="C20" s="39">
        <f t="shared" si="6"/>
        <v>0.92307692307692313</v>
      </c>
      <c r="D20" s="21">
        <v>2</v>
      </c>
      <c r="E20" s="39">
        <f t="shared" si="7"/>
        <v>0.84745762711864403</v>
      </c>
      <c r="F20" s="6">
        <v>1</v>
      </c>
      <c r="G20" s="39">
        <f t="shared" si="8"/>
        <v>0.33222591362126247</v>
      </c>
      <c r="H20" s="6">
        <v>4</v>
      </c>
      <c r="I20" s="39">
        <f t="shared" si="9"/>
        <v>1.1428571428571428</v>
      </c>
      <c r="J20" s="6">
        <v>3</v>
      </c>
      <c r="K20" s="39">
        <f t="shared" si="10"/>
        <v>0.78740157480314954</v>
      </c>
    </row>
    <row r="21" spans="1:11" ht="18.95" customHeight="1">
      <c r="A21" s="38" t="s">
        <v>44</v>
      </c>
      <c r="B21" s="25">
        <v>10</v>
      </c>
      <c r="C21" s="52">
        <f t="shared" ref="C21" si="11">IFERROR(B21/B$14*100,"-")</f>
        <v>3.0769230769230771</v>
      </c>
      <c r="D21" s="25">
        <v>17</v>
      </c>
      <c r="E21" s="52">
        <f t="shared" ref="E21" si="12">IFERROR(D21/D$14*100,"-")</f>
        <v>7.2033898305084749</v>
      </c>
      <c r="F21" s="8">
        <v>19</v>
      </c>
      <c r="G21" s="52">
        <f t="shared" ref="G21" si="13">IFERROR(F21/F$14*100,"-")</f>
        <v>6.3122923588039868</v>
      </c>
      <c r="H21" s="8">
        <v>28</v>
      </c>
      <c r="I21" s="52">
        <f t="shared" ref="I21" si="14">IFERROR(H21/H$14*100,"-")</f>
        <v>8</v>
      </c>
      <c r="J21" s="8">
        <v>22</v>
      </c>
      <c r="K21" s="52">
        <f t="shared" ref="K21" si="15">IFERROR(J21/J$14*100,"-")</f>
        <v>5.7742782152230969</v>
      </c>
    </row>
    <row r="22" spans="1:11">
      <c r="A22" s="488" t="s">
        <v>124</v>
      </c>
      <c r="B22" s="489"/>
      <c r="C22" s="489"/>
      <c r="D22" s="489"/>
      <c r="E22" s="489"/>
      <c r="F22" s="489"/>
      <c r="G22" s="489"/>
      <c r="H22" s="489"/>
      <c r="I22" s="14"/>
      <c r="J22" s="41"/>
      <c r="K22" s="41"/>
    </row>
    <row r="23" spans="1:11">
      <c r="A23" s="417" t="s">
        <v>125</v>
      </c>
      <c r="B23" s="417"/>
      <c r="C23" s="417"/>
      <c r="D23" s="417"/>
      <c r="E23" s="417"/>
      <c r="F23" s="417"/>
      <c r="G23" s="14"/>
      <c r="H23" s="14"/>
      <c r="I23" s="34"/>
      <c r="J23" s="14"/>
      <c r="K23" s="14"/>
    </row>
  </sheetData>
  <sortState ref="A15:K20">
    <sortCondition descending="1" ref="J15:J20"/>
  </sortState>
  <mergeCells count="13">
    <mergeCell ref="A1:K1"/>
    <mergeCell ref="B2:C2"/>
    <mergeCell ref="D2:E2"/>
    <mergeCell ref="F2:G2"/>
    <mergeCell ref="H2:I2"/>
    <mergeCell ref="A23:F23"/>
    <mergeCell ref="B12:C12"/>
    <mergeCell ref="J12:K12"/>
    <mergeCell ref="J2:K2"/>
    <mergeCell ref="D12:E12"/>
    <mergeCell ref="F12:G12"/>
    <mergeCell ref="H12:I12"/>
    <mergeCell ref="A22:H22"/>
  </mergeCells>
  <phoneticPr fontId="2" type="noConversion"/>
  <hyperlinks>
    <hyperlink ref="L1" location="本篇表次!A1" display="回本篇表次"/>
  </hyperlinks>
  <printOptions horizontalCentered="1" verticalCentered="1"/>
  <pageMargins left="0.70866141732283472" right="0.70866141732283472" top="0.74803149606299213" bottom="0.74803149606299213" header="0.31496062992125984" footer="0.31496062992125984"/>
  <pageSetup paperSize="224" scale="9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25"/>
  <sheetViews>
    <sheetView showGridLines="0" zoomScale="90" zoomScaleNormal="90" workbookViewId="0">
      <pane xSplit="1" topLeftCell="B1" activePane="topRight" state="frozen"/>
      <selection activeCell="A8" sqref="A8"/>
      <selection pane="topRight" activeCell="V1" sqref="V1"/>
    </sheetView>
  </sheetViews>
  <sheetFormatPr defaultColWidth="7.625" defaultRowHeight="16.5"/>
  <cols>
    <col min="1" max="1" width="29.125" style="283" customWidth="1"/>
    <col min="2" max="4" width="7.625" style="283" customWidth="1"/>
    <col min="5" max="5" width="7.875" style="283" customWidth="1"/>
    <col min="6" max="8" width="7.625" style="283"/>
    <col min="9" max="9" width="7.875" style="283" customWidth="1"/>
    <col min="10" max="10" width="7.625" style="283" customWidth="1"/>
    <col min="11" max="11" width="7.625" style="283"/>
    <col min="12" max="12" width="7.625" style="283" customWidth="1"/>
    <col min="13" max="13" width="8.625" style="283" customWidth="1"/>
    <col min="14" max="15" width="7.625" style="283" customWidth="1"/>
    <col min="16" max="16" width="7.625" style="283"/>
    <col min="17" max="17" width="9" style="283" bestFit="1" customWidth="1"/>
    <col min="18" max="20" width="7.625" style="283"/>
    <col min="21" max="21" width="9" style="283" bestFit="1" customWidth="1"/>
    <col min="22" max="22" width="12.625" style="283" bestFit="1" customWidth="1"/>
    <col min="23" max="16384" width="7.625" style="283"/>
  </cols>
  <sheetData>
    <row r="1" spans="1:22" ht="20.100000000000001" customHeight="1">
      <c r="A1" s="456" t="s">
        <v>656</v>
      </c>
      <c r="B1" s="456"/>
      <c r="C1" s="456"/>
      <c r="D1" s="456"/>
      <c r="E1" s="456"/>
      <c r="F1" s="456"/>
      <c r="G1" s="456"/>
      <c r="H1" s="456"/>
      <c r="I1" s="456"/>
      <c r="J1" s="456"/>
      <c r="K1" s="456"/>
      <c r="L1" s="456"/>
      <c r="M1" s="456"/>
      <c r="N1" s="456"/>
      <c r="O1" s="456"/>
      <c r="P1" s="456"/>
      <c r="Q1" s="456"/>
      <c r="R1" s="456"/>
      <c r="S1" s="456"/>
      <c r="T1" s="456"/>
      <c r="U1" s="456"/>
      <c r="V1" s="348" t="s">
        <v>644</v>
      </c>
    </row>
    <row r="2" spans="1:22" ht="20.100000000000001" customHeight="1">
      <c r="A2" s="457"/>
      <c r="B2" s="459" t="s">
        <v>151</v>
      </c>
      <c r="C2" s="459"/>
      <c r="D2" s="459"/>
      <c r="E2" s="459"/>
      <c r="F2" s="459" t="s">
        <v>152</v>
      </c>
      <c r="G2" s="459"/>
      <c r="H2" s="459"/>
      <c r="I2" s="459"/>
      <c r="J2" s="459" t="s">
        <v>153</v>
      </c>
      <c r="K2" s="494"/>
      <c r="L2" s="494"/>
      <c r="M2" s="494"/>
      <c r="N2" s="459" t="s">
        <v>154</v>
      </c>
      <c r="O2" s="459"/>
      <c r="P2" s="459"/>
      <c r="Q2" s="459"/>
      <c r="R2" s="459" t="s">
        <v>167</v>
      </c>
      <c r="S2" s="459"/>
      <c r="T2" s="459"/>
      <c r="U2" s="459"/>
    </row>
    <row r="3" spans="1:22" ht="20.100000000000001" customHeight="1">
      <c r="A3" s="458"/>
      <c r="B3" s="459" t="s">
        <v>155</v>
      </c>
      <c r="C3" s="459"/>
      <c r="D3" s="459"/>
      <c r="E3" s="457" t="s">
        <v>156</v>
      </c>
      <c r="F3" s="459" t="s">
        <v>155</v>
      </c>
      <c r="G3" s="459"/>
      <c r="H3" s="459"/>
      <c r="I3" s="457" t="s">
        <v>156</v>
      </c>
      <c r="J3" s="494" t="s">
        <v>155</v>
      </c>
      <c r="K3" s="494"/>
      <c r="L3" s="494"/>
      <c r="M3" s="457" t="s">
        <v>156</v>
      </c>
      <c r="N3" s="459" t="s">
        <v>155</v>
      </c>
      <c r="O3" s="459"/>
      <c r="P3" s="459"/>
      <c r="Q3" s="457" t="s">
        <v>156</v>
      </c>
      <c r="R3" s="459" t="s">
        <v>155</v>
      </c>
      <c r="S3" s="459"/>
      <c r="T3" s="459"/>
      <c r="U3" s="457" t="s">
        <v>156</v>
      </c>
    </row>
    <row r="4" spans="1:22" ht="20.100000000000001" customHeight="1">
      <c r="A4" s="458"/>
      <c r="B4" s="349" t="s">
        <v>157</v>
      </c>
      <c r="C4" s="359" t="s">
        <v>98</v>
      </c>
      <c r="D4" s="359" t="s">
        <v>99</v>
      </c>
      <c r="E4" s="490"/>
      <c r="F4" s="349" t="s">
        <v>157</v>
      </c>
      <c r="G4" s="359" t="s">
        <v>98</v>
      </c>
      <c r="H4" s="359" t="s">
        <v>99</v>
      </c>
      <c r="I4" s="490"/>
      <c r="J4" s="349" t="s">
        <v>157</v>
      </c>
      <c r="K4" s="359" t="s">
        <v>98</v>
      </c>
      <c r="L4" s="359" t="s">
        <v>99</v>
      </c>
      <c r="M4" s="500"/>
      <c r="N4" s="349" t="s">
        <v>157</v>
      </c>
      <c r="O4" s="359" t="s">
        <v>98</v>
      </c>
      <c r="P4" s="359" t="s">
        <v>99</v>
      </c>
      <c r="Q4" s="490"/>
      <c r="R4" s="349" t="s">
        <v>157</v>
      </c>
      <c r="S4" s="359" t="s">
        <v>98</v>
      </c>
      <c r="T4" s="359" t="s">
        <v>99</v>
      </c>
      <c r="U4" s="490"/>
    </row>
    <row r="5" spans="1:22" ht="20.100000000000001" customHeight="1">
      <c r="A5" s="360" t="s">
        <v>158</v>
      </c>
      <c r="B5" s="263">
        <v>3302</v>
      </c>
      <c r="C5" s="263">
        <v>2550</v>
      </c>
      <c r="D5" s="263">
        <v>752</v>
      </c>
      <c r="E5" s="361">
        <f>SUM(E6:E12)</f>
        <v>100</v>
      </c>
      <c r="F5" s="263">
        <v>2105</v>
      </c>
      <c r="G5" s="263">
        <v>1547</v>
      </c>
      <c r="H5" s="263">
        <v>558</v>
      </c>
      <c r="I5" s="361">
        <f>SUM(I6:I12)</f>
        <v>100</v>
      </c>
      <c r="J5" s="263">
        <v>2076</v>
      </c>
      <c r="K5" s="265">
        <v>1528</v>
      </c>
      <c r="L5" s="265">
        <v>548</v>
      </c>
      <c r="M5" s="361">
        <f>SUM(M6:M12)</f>
        <v>100.00000000000003</v>
      </c>
      <c r="N5" s="265">
        <v>1386</v>
      </c>
      <c r="O5" s="265">
        <v>1000</v>
      </c>
      <c r="P5" s="265">
        <v>386</v>
      </c>
      <c r="Q5" s="361">
        <f>SUM(Q6:Q12)</f>
        <v>100</v>
      </c>
      <c r="R5" s="265">
        <v>835</v>
      </c>
      <c r="S5" s="265">
        <v>596</v>
      </c>
      <c r="T5" s="265">
        <v>239</v>
      </c>
      <c r="U5" s="361">
        <f>SUM(U6:U12)</f>
        <v>99.999999999999986</v>
      </c>
    </row>
    <row r="6" spans="1:22" ht="33" customHeight="1">
      <c r="A6" s="360" t="s">
        <v>159</v>
      </c>
      <c r="B6" s="265">
        <v>2988</v>
      </c>
      <c r="C6" s="265">
        <v>2360</v>
      </c>
      <c r="D6" s="265">
        <v>628</v>
      </c>
      <c r="E6" s="361">
        <f>IFERROR(B6/B$5*100,"-")</f>
        <v>90.490611750454278</v>
      </c>
      <c r="F6" s="265">
        <v>1801</v>
      </c>
      <c r="G6" s="265">
        <v>1379</v>
      </c>
      <c r="H6" s="265">
        <v>422</v>
      </c>
      <c r="I6" s="361">
        <f t="shared" ref="I6:I12" si="0">IFERROR(F6/F$5*100,"-")</f>
        <v>85.558194774346802</v>
      </c>
      <c r="J6" s="265">
        <v>1752</v>
      </c>
      <c r="K6" s="265">
        <v>1336</v>
      </c>
      <c r="L6" s="265">
        <v>416</v>
      </c>
      <c r="M6" s="361">
        <f t="shared" ref="M6:M12" si="1">IFERROR(J6/J$5*100,"-")</f>
        <v>84.393063583815035</v>
      </c>
      <c r="N6" s="265">
        <v>1112</v>
      </c>
      <c r="O6" s="265">
        <v>826</v>
      </c>
      <c r="P6" s="265">
        <v>286</v>
      </c>
      <c r="Q6" s="361">
        <f t="shared" ref="Q6:Q12" si="2">IFERROR(N6/N$5*100,"-")</f>
        <v>80.230880230880231</v>
      </c>
      <c r="R6" s="265">
        <v>553</v>
      </c>
      <c r="S6" s="265">
        <v>419</v>
      </c>
      <c r="T6" s="265">
        <v>134</v>
      </c>
      <c r="U6" s="361">
        <f t="shared" ref="U6:U12" si="3">IFERROR(R6/R$5*100,"-")</f>
        <v>66.227544910179631</v>
      </c>
    </row>
    <row r="7" spans="1:22" ht="33" customHeight="1">
      <c r="A7" s="360" t="s">
        <v>160</v>
      </c>
      <c r="B7" s="265">
        <v>59</v>
      </c>
      <c r="C7" s="265">
        <v>55</v>
      </c>
      <c r="D7" s="265">
        <v>4</v>
      </c>
      <c r="E7" s="361">
        <f t="shared" ref="E7:E8" si="4">IFERROR(B7/B$5*100,"-")</f>
        <v>1.7867958812840705</v>
      </c>
      <c r="F7" s="265">
        <v>94</v>
      </c>
      <c r="G7" s="265">
        <v>87</v>
      </c>
      <c r="H7" s="265">
        <v>7</v>
      </c>
      <c r="I7" s="361">
        <f t="shared" si="0"/>
        <v>4.4655581947743466</v>
      </c>
      <c r="J7" s="265">
        <v>107</v>
      </c>
      <c r="K7" s="265">
        <v>101</v>
      </c>
      <c r="L7" s="265">
        <v>6</v>
      </c>
      <c r="M7" s="361">
        <f t="shared" si="1"/>
        <v>5.1541425818882463</v>
      </c>
      <c r="N7" s="265">
        <v>96</v>
      </c>
      <c r="O7" s="265">
        <v>93</v>
      </c>
      <c r="P7" s="265">
        <v>3</v>
      </c>
      <c r="Q7" s="361">
        <f t="shared" si="2"/>
        <v>6.9264069264069263</v>
      </c>
      <c r="R7" s="265">
        <v>121</v>
      </c>
      <c r="S7" s="265">
        <v>107</v>
      </c>
      <c r="T7" s="265">
        <v>14</v>
      </c>
      <c r="U7" s="361">
        <f t="shared" si="3"/>
        <v>14.491017964071856</v>
      </c>
    </row>
    <row r="8" spans="1:22" ht="30.95" customHeight="1">
      <c r="A8" s="360" t="s">
        <v>161</v>
      </c>
      <c r="B8" s="265">
        <v>33</v>
      </c>
      <c r="C8" s="265">
        <v>33</v>
      </c>
      <c r="D8" s="265" t="s">
        <v>77</v>
      </c>
      <c r="E8" s="361">
        <f t="shared" si="4"/>
        <v>0.99939430648092065</v>
      </c>
      <c r="F8" s="265">
        <v>14</v>
      </c>
      <c r="G8" s="265">
        <v>14</v>
      </c>
      <c r="H8" s="265" t="s">
        <v>77</v>
      </c>
      <c r="I8" s="361">
        <f t="shared" si="0"/>
        <v>0.66508313539192399</v>
      </c>
      <c r="J8" s="265">
        <v>25</v>
      </c>
      <c r="K8" s="265">
        <v>25</v>
      </c>
      <c r="L8" s="265" t="s">
        <v>77</v>
      </c>
      <c r="M8" s="361">
        <f t="shared" si="1"/>
        <v>1.2042389210019269</v>
      </c>
      <c r="N8" s="265">
        <v>25</v>
      </c>
      <c r="O8" s="265">
        <v>24</v>
      </c>
      <c r="P8" s="265">
        <v>1</v>
      </c>
      <c r="Q8" s="361">
        <f t="shared" si="2"/>
        <v>1.8037518037518037</v>
      </c>
      <c r="R8" s="265">
        <v>14</v>
      </c>
      <c r="S8" s="265">
        <v>14</v>
      </c>
      <c r="T8" s="265" t="s">
        <v>77</v>
      </c>
      <c r="U8" s="361">
        <f t="shared" si="3"/>
        <v>1.6766467065868262</v>
      </c>
    </row>
    <row r="9" spans="1:22" ht="20.100000000000001" customHeight="1">
      <c r="A9" s="360" t="s">
        <v>162</v>
      </c>
      <c r="B9" s="265">
        <v>162</v>
      </c>
      <c r="C9" s="265">
        <v>56</v>
      </c>
      <c r="D9" s="265">
        <v>106</v>
      </c>
      <c r="E9" s="361">
        <f>IFERROR(B9/B$5*100,"-")</f>
        <v>4.9061175045427019</v>
      </c>
      <c r="F9" s="265">
        <v>172</v>
      </c>
      <c r="G9" s="265">
        <v>59</v>
      </c>
      <c r="H9" s="265">
        <v>113</v>
      </c>
      <c r="I9" s="361">
        <f t="shared" si="0"/>
        <v>8.1710213776722096</v>
      </c>
      <c r="J9" s="265">
        <v>152</v>
      </c>
      <c r="K9" s="265">
        <v>52</v>
      </c>
      <c r="L9" s="265">
        <v>100</v>
      </c>
      <c r="M9" s="361">
        <f t="shared" si="1"/>
        <v>7.3217726396917149</v>
      </c>
      <c r="N9" s="265">
        <v>124</v>
      </c>
      <c r="O9" s="265">
        <v>42</v>
      </c>
      <c r="P9" s="265">
        <v>82</v>
      </c>
      <c r="Q9" s="361">
        <f t="shared" si="2"/>
        <v>8.9466089466089471</v>
      </c>
      <c r="R9" s="265">
        <v>111</v>
      </c>
      <c r="S9" s="265">
        <v>37</v>
      </c>
      <c r="T9" s="265">
        <v>74</v>
      </c>
      <c r="U9" s="361">
        <f t="shared" si="3"/>
        <v>13.293413173652693</v>
      </c>
    </row>
    <row r="10" spans="1:22" ht="20.100000000000001" customHeight="1">
      <c r="A10" s="360" t="s">
        <v>163</v>
      </c>
      <c r="B10" s="265">
        <v>33</v>
      </c>
      <c r="C10" s="265">
        <v>25</v>
      </c>
      <c r="D10" s="265">
        <v>8</v>
      </c>
      <c r="E10" s="361">
        <f t="shared" ref="E10" si="5">IFERROR(B10/B$5*100,"-")</f>
        <v>0.99939430648092065</v>
      </c>
      <c r="F10" s="265">
        <v>13</v>
      </c>
      <c r="G10" s="265">
        <v>6</v>
      </c>
      <c r="H10" s="265">
        <v>7</v>
      </c>
      <c r="I10" s="361">
        <f t="shared" si="0"/>
        <v>0.61757719714964376</v>
      </c>
      <c r="J10" s="265">
        <v>20</v>
      </c>
      <c r="K10" s="265">
        <v>11</v>
      </c>
      <c r="L10" s="265">
        <v>9</v>
      </c>
      <c r="M10" s="361">
        <f t="shared" si="1"/>
        <v>0.96339113680154131</v>
      </c>
      <c r="N10" s="265">
        <v>24</v>
      </c>
      <c r="O10" s="265">
        <v>12</v>
      </c>
      <c r="P10" s="265">
        <v>12</v>
      </c>
      <c r="Q10" s="361">
        <f t="shared" si="2"/>
        <v>1.7316017316017316</v>
      </c>
      <c r="R10" s="265">
        <v>35</v>
      </c>
      <c r="S10" s="265">
        <v>19</v>
      </c>
      <c r="T10" s="265">
        <v>16</v>
      </c>
      <c r="U10" s="361">
        <f t="shared" si="3"/>
        <v>4.1916167664670656</v>
      </c>
    </row>
    <row r="11" spans="1:22" ht="20.100000000000001" customHeight="1">
      <c r="A11" s="360" t="s">
        <v>164</v>
      </c>
      <c r="B11" s="265">
        <v>13</v>
      </c>
      <c r="C11" s="265">
        <v>11</v>
      </c>
      <c r="D11" s="265">
        <v>2</v>
      </c>
      <c r="E11" s="361">
        <f>IFERROR(B11/B$5*100,"-")</f>
        <v>0.39370078740157477</v>
      </c>
      <c r="F11" s="265" t="s">
        <v>165</v>
      </c>
      <c r="G11" s="265" t="s">
        <v>165</v>
      </c>
      <c r="H11" s="265" t="s">
        <v>165</v>
      </c>
      <c r="I11" s="265" t="s">
        <v>165</v>
      </c>
      <c r="J11" s="265">
        <v>8</v>
      </c>
      <c r="K11" s="265">
        <v>2</v>
      </c>
      <c r="L11" s="265">
        <v>6</v>
      </c>
      <c r="M11" s="361">
        <f t="shared" si="1"/>
        <v>0.38535645472061658</v>
      </c>
      <c r="N11" s="265">
        <v>3</v>
      </c>
      <c r="O11" s="265">
        <v>3</v>
      </c>
      <c r="P11" s="265" t="s">
        <v>165</v>
      </c>
      <c r="Q11" s="361">
        <f t="shared" si="2"/>
        <v>0.21645021645021645</v>
      </c>
      <c r="R11" s="265" t="s">
        <v>77</v>
      </c>
      <c r="S11" s="265" t="s">
        <v>165</v>
      </c>
      <c r="T11" s="265" t="s">
        <v>165</v>
      </c>
      <c r="U11" s="265" t="s">
        <v>165</v>
      </c>
    </row>
    <row r="12" spans="1:22" ht="20.100000000000001" customHeight="1" thickBot="1">
      <c r="A12" s="360" t="s">
        <v>166</v>
      </c>
      <c r="B12" s="265">
        <v>14</v>
      </c>
      <c r="C12" s="265">
        <v>10</v>
      </c>
      <c r="D12" s="265">
        <v>4</v>
      </c>
      <c r="E12" s="361">
        <f t="shared" ref="E12" si="6">IFERROR(B12/B$5*100,"-")</f>
        <v>0.4239854633555421</v>
      </c>
      <c r="F12" s="265">
        <v>11</v>
      </c>
      <c r="G12" s="265">
        <v>2</v>
      </c>
      <c r="H12" s="265">
        <v>9</v>
      </c>
      <c r="I12" s="361">
        <f t="shared" si="0"/>
        <v>0.5225653206650831</v>
      </c>
      <c r="J12" s="265">
        <v>12</v>
      </c>
      <c r="K12" s="265">
        <v>1</v>
      </c>
      <c r="L12" s="265">
        <v>11</v>
      </c>
      <c r="M12" s="361">
        <f t="shared" si="1"/>
        <v>0.57803468208092479</v>
      </c>
      <c r="N12" s="265">
        <v>2</v>
      </c>
      <c r="O12" s="265" t="s">
        <v>165</v>
      </c>
      <c r="P12" s="265">
        <v>2</v>
      </c>
      <c r="Q12" s="361">
        <f t="shared" si="2"/>
        <v>0.14430014430014429</v>
      </c>
      <c r="R12" s="265">
        <v>1</v>
      </c>
      <c r="S12" s="265" t="s">
        <v>165</v>
      </c>
      <c r="T12" s="265">
        <v>1</v>
      </c>
      <c r="U12" s="361">
        <f t="shared" si="3"/>
        <v>0.11976047904191617</v>
      </c>
    </row>
    <row r="13" spans="1:22" ht="20.100000000000001" customHeight="1">
      <c r="A13" s="498"/>
      <c r="B13" s="495" t="s">
        <v>168</v>
      </c>
      <c r="C13" s="496"/>
      <c r="D13" s="496"/>
      <c r="E13" s="496"/>
      <c r="F13" s="495" t="s">
        <v>169</v>
      </c>
      <c r="G13" s="496"/>
      <c r="H13" s="496"/>
      <c r="I13" s="496"/>
      <c r="J13" s="495" t="s">
        <v>170</v>
      </c>
      <c r="K13" s="496"/>
      <c r="L13" s="496"/>
      <c r="M13" s="496"/>
      <c r="N13" s="495" t="s">
        <v>171</v>
      </c>
      <c r="O13" s="495"/>
      <c r="P13" s="495"/>
      <c r="Q13" s="495"/>
      <c r="R13" s="497" t="s">
        <v>176</v>
      </c>
      <c r="S13" s="497"/>
      <c r="T13" s="497"/>
      <c r="U13" s="497"/>
    </row>
    <row r="14" spans="1:22" ht="20.100000000000001" customHeight="1">
      <c r="A14" s="499"/>
      <c r="B14" s="459" t="s">
        <v>155</v>
      </c>
      <c r="C14" s="494"/>
      <c r="D14" s="494"/>
      <c r="E14" s="457" t="s">
        <v>156</v>
      </c>
      <c r="F14" s="459" t="s">
        <v>155</v>
      </c>
      <c r="G14" s="494"/>
      <c r="H14" s="494"/>
      <c r="I14" s="457" t="s">
        <v>156</v>
      </c>
      <c r="J14" s="459" t="s">
        <v>155</v>
      </c>
      <c r="K14" s="494"/>
      <c r="L14" s="494"/>
      <c r="M14" s="457" t="s">
        <v>156</v>
      </c>
      <c r="N14" s="459" t="s">
        <v>155</v>
      </c>
      <c r="O14" s="459"/>
      <c r="P14" s="459"/>
      <c r="Q14" s="457" t="s">
        <v>156</v>
      </c>
      <c r="R14" s="459" t="s">
        <v>155</v>
      </c>
      <c r="S14" s="459"/>
      <c r="T14" s="459"/>
      <c r="U14" s="457" t="s">
        <v>156</v>
      </c>
    </row>
    <row r="15" spans="1:22" ht="20.100000000000001" customHeight="1">
      <c r="A15" s="499"/>
      <c r="B15" s="349" t="s">
        <v>157</v>
      </c>
      <c r="C15" s="359" t="s">
        <v>98</v>
      </c>
      <c r="D15" s="359" t="s">
        <v>99</v>
      </c>
      <c r="E15" s="500"/>
      <c r="F15" s="349" t="s">
        <v>157</v>
      </c>
      <c r="G15" s="359" t="s">
        <v>98</v>
      </c>
      <c r="H15" s="359" t="s">
        <v>99</v>
      </c>
      <c r="I15" s="500"/>
      <c r="J15" s="349" t="s">
        <v>157</v>
      </c>
      <c r="K15" s="359" t="s">
        <v>98</v>
      </c>
      <c r="L15" s="359" t="s">
        <v>99</v>
      </c>
      <c r="M15" s="500"/>
      <c r="N15" s="349" t="s">
        <v>157</v>
      </c>
      <c r="O15" s="359" t="s">
        <v>98</v>
      </c>
      <c r="P15" s="359" t="s">
        <v>99</v>
      </c>
      <c r="Q15" s="490"/>
      <c r="R15" s="349" t="s">
        <v>157</v>
      </c>
      <c r="S15" s="359" t="s">
        <v>98</v>
      </c>
      <c r="T15" s="359" t="s">
        <v>99</v>
      </c>
      <c r="U15" s="490"/>
    </row>
    <row r="16" spans="1:22" ht="20.100000000000001" customHeight="1">
      <c r="A16" s="360" t="s">
        <v>158</v>
      </c>
      <c r="B16" s="265">
        <v>675</v>
      </c>
      <c r="C16" s="263">
        <v>468</v>
      </c>
      <c r="D16" s="263">
        <v>207</v>
      </c>
      <c r="E16" s="361">
        <f>SUM(E17:E23)</f>
        <v>100</v>
      </c>
      <c r="F16" s="265">
        <v>638</v>
      </c>
      <c r="G16" s="263">
        <v>502</v>
      </c>
      <c r="H16" s="263">
        <v>136</v>
      </c>
      <c r="I16" s="361">
        <f t="shared" ref="I16:Q16" si="7">SUM(I17:I23)</f>
        <v>100.00000000000001</v>
      </c>
      <c r="J16" s="263">
        <f t="shared" si="7"/>
        <v>544</v>
      </c>
      <c r="K16" s="263">
        <f t="shared" si="7"/>
        <v>442</v>
      </c>
      <c r="L16" s="263">
        <f t="shared" si="7"/>
        <v>102</v>
      </c>
      <c r="M16" s="266">
        <f>SUM(M17:M23)</f>
        <v>100</v>
      </c>
      <c r="N16" s="263">
        <f t="shared" si="7"/>
        <v>387</v>
      </c>
      <c r="O16" s="263">
        <f t="shared" si="7"/>
        <v>302</v>
      </c>
      <c r="P16" s="263">
        <f t="shared" si="7"/>
        <v>85</v>
      </c>
      <c r="Q16" s="266">
        <f t="shared" si="7"/>
        <v>100</v>
      </c>
      <c r="R16" s="258">
        <f>SUM(R17:R23)</f>
        <v>349</v>
      </c>
      <c r="S16" s="258">
        <f t="shared" ref="S16:U16" si="8">SUM(S17:S23)</f>
        <v>295</v>
      </c>
      <c r="T16" s="258">
        <f t="shared" si="8"/>
        <v>54</v>
      </c>
      <c r="U16" s="362">
        <f t="shared" si="8"/>
        <v>100</v>
      </c>
    </row>
    <row r="17" spans="1:21" ht="33">
      <c r="A17" s="360" t="s">
        <v>172</v>
      </c>
      <c r="B17" s="265">
        <v>399</v>
      </c>
      <c r="C17" s="265">
        <v>280</v>
      </c>
      <c r="D17" s="265">
        <v>119</v>
      </c>
      <c r="E17" s="361">
        <f t="shared" ref="E17:E23" si="9">IFERROR(B17/B$16*100,"-")</f>
        <v>59.111111111111114</v>
      </c>
      <c r="F17" s="265">
        <v>419</v>
      </c>
      <c r="G17" s="265">
        <v>328</v>
      </c>
      <c r="H17" s="265">
        <v>91</v>
      </c>
      <c r="I17" s="361">
        <f t="shared" ref="I17:I23" si="10">IFERROR(F17/F$16*100,"-")</f>
        <v>65.67398119122258</v>
      </c>
      <c r="J17" s="265">
        <f t="shared" ref="J17:J23" si="11">SUM(K17:L17)</f>
        <v>446</v>
      </c>
      <c r="K17" s="265">
        <v>352</v>
      </c>
      <c r="L17" s="265">
        <v>94</v>
      </c>
      <c r="M17" s="266">
        <f t="shared" ref="M17:M23" si="12">IFERROR(J17/J$16*100,"-")</f>
        <v>81.985294117647058</v>
      </c>
      <c r="N17" s="265">
        <f t="shared" ref="N17:N23" si="13">SUM(O17:P17)</f>
        <v>302</v>
      </c>
      <c r="O17" s="265">
        <v>222</v>
      </c>
      <c r="P17" s="265">
        <v>80</v>
      </c>
      <c r="Q17" s="266">
        <f t="shared" ref="Q17:Q23" si="14">IFERROR(N17/N$16*100,"-")</f>
        <v>78.036175710594307</v>
      </c>
      <c r="R17" s="258">
        <f>S17+T17</f>
        <v>236</v>
      </c>
      <c r="S17" s="258">
        <v>195</v>
      </c>
      <c r="T17" s="258">
        <v>41</v>
      </c>
      <c r="U17" s="362">
        <f>IFERROR(R17/R$16*100,"-")</f>
        <v>67.621776504297998</v>
      </c>
    </row>
    <row r="18" spans="1:21" ht="33" customHeight="1">
      <c r="A18" s="360" t="s">
        <v>173</v>
      </c>
      <c r="B18" s="265">
        <v>121</v>
      </c>
      <c r="C18" s="265">
        <v>114</v>
      </c>
      <c r="D18" s="265">
        <v>7</v>
      </c>
      <c r="E18" s="361">
        <f t="shared" si="9"/>
        <v>17.925925925925927</v>
      </c>
      <c r="F18" s="265">
        <v>128</v>
      </c>
      <c r="G18" s="265">
        <v>113</v>
      </c>
      <c r="H18" s="265">
        <v>15</v>
      </c>
      <c r="I18" s="361">
        <f t="shared" si="10"/>
        <v>20.062695924764888</v>
      </c>
      <c r="J18" s="265">
        <f t="shared" si="11"/>
        <v>76</v>
      </c>
      <c r="K18" s="265">
        <v>68</v>
      </c>
      <c r="L18" s="265">
        <v>8</v>
      </c>
      <c r="M18" s="266">
        <f t="shared" si="12"/>
        <v>13.970588235294118</v>
      </c>
      <c r="N18" s="265">
        <f t="shared" si="13"/>
        <v>72</v>
      </c>
      <c r="O18" s="265">
        <v>68</v>
      </c>
      <c r="P18" s="265">
        <v>4</v>
      </c>
      <c r="Q18" s="266">
        <f t="shared" si="14"/>
        <v>18.604651162790699</v>
      </c>
      <c r="R18" s="258">
        <f>S18+T18</f>
        <v>96</v>
      </c>
      <c r="S18" s="258">
        <v>83</v>
      </c>
      <c r="T18" s="258">
        <v>13</v>
      </c>
      <c r="U18" s="362">
        <f t="shared" ref="U18:U19" si="15">IFERROR(R18/R$16*100,"-")</f>
        <v>27.507163323782237</v>
      </c>
    </row>
    <row r="19" spans="1:21" ht="30.95" customHeight="1">
      <c r="A19" s="360" t="s">
        <v>174</v>
      </c>
      <c r="B19" s="265">
        <v>18</v>
      </c>
      <c r="C19" s="265">
        <v>17</v>
      </c>
      <c r="D19" s="265">
        <v>1</v>
      </c>
      <c r="E19" s="361">
        <f t="shared" si="9"/>
        <v>2.666666666666667</v>
      </c>
      <c r="F19" s="265">
        <v>19</v>
      </c>
      <c r="G19" s="265">
        <v>19</v>
      </c>
      <c r="H19" s="265" t="s">
        <v>165</v>
      </c>
      <c r="I19" s="361">
        <f t="shared" si="10"/>
        <v>2.9780564263322882</v>
      </c>
      <c r="J19" s="265">
        <f t="shared" si="11"/>
        <v>22</v>
      </c>
      <c r="K19" s="265">
        <v>22</v>
      </c>
      <c r="L19" s="265" t="s">
        <v>80</v>
      </c>
      <c r="M19" s="266">
        <f t="shared" si="12"/>
        <v>4.0441176470588234</v>
      </c>
      <c r="N19" s="265">
        <f t="shared" si="13"/>
        <v>13</v>
      </c>
      <c r="O19" s="265">
        <v>12</v>
      </c>
      <c r="P19" s="265">
        <v>1</v>
      </c>
      <c r="Q19" s="266">
        <f t="shared" si="14"/>
        <v>3.3591731266149871</v>
      </c>
      <c r="R19" s="258">
        <f t="shared" ref="R19:R23" si="16">S19+T19</f>
        <v>17</v>
      </c>
      <c r="S19" s="258">
        <v>17</v>
      </c>
      <c r="T19" s="363">
        <v>0</v>
      </c>
      <c r="U19" s="362">
        <f t="shared" si="15"/>
        <v>4.8710601719197708</v>
      </c>
    </row>
    <row r="20" spans="1:21" ht="20.100000000000001" customHeight="1">
      <c r="A20" s="360" t="s">
        <v>162</v>
      </c>
      <c r="B20" s="265">
        <v>107</v>
      </c>
      <c r="C20" s="265">
        <v>34</v>
      </c>
      <c r="D20" s="265">
        <v>73</v>
      </c>
      <c r="E20" s="361">
        <f t="shared" si="9"/>
        <v>15.851851851851853</v>
      </c>
      <c r="F20" s="265">
        <v>58</v>
      </c>
      <c r="G20" s="265">
        <v>30</v>
      </c>
      <c r="H20" s="265">
        <v>28</v>
      </c>
      <c r="I20" s="361">
        <f t="shared" si="10"/>
        <v>9.0909090909090917</v>
      </c>
      <c r="J20" s="265">
        <f>SUM(K20:L20)</f>
        <v>0</v>
      </c>
      <c r="K20" s="265" t="s">
        <v>80</v>
      </c>
      <c r="L20" s="265" t="s">
        <v>80</v>
      </c>
      <c r="M20" s="265">
        <f t="shared" si="12"/>
        <v>0</v>
      </c>
      <c r="N20" s="265">
        <f>SUM(O20:P20)</f>
        <v>0</v>
      </c>
      <c r="O20" s="265" t="s">
        <v>80</v>
      </c>
      <c r="P20" s="265" t="s">
        <v>80</v>
      </c>
      <c r="Q20" s="265">
        <f t="shared" si="14"/>
        <v>0</v>
      </c>
      <c r="R20" s="363">
        <f t="shared" si="16"/>
        <v>0</v>
      </c>
      <c r="S20" s="363">
        <v>0</v>
      </c>
      <c r="T20" s="363">
        <v>0</v>
      </c>
      <c r="U20" s="363">
        <v>0</v>
      </c>
    </row>
    <row r="21" spans="1:21" ht="20.100000000000001" customHeight="1">
      <c r="A21" s="360" t="s">
        <v>163</v>
      </c>
      <c r="B21" s="265">
        <v>23</v>
      </c>
      <c r="C21" s="265">
        <v>18</v>
      </c>
      <c r="D21" s="265">
        <v>5</v>
      </c>
      <c r="E21" s="361">
        <f t="shared" si="9"/>
        <v>3.4074074074074074</v>
      </c>
      <c r="F21" s="265">
        <v>7</v>
      </c>
      <c r="G21" s="265">
        <v>6</v>
      </c>
      <c r="H21" s="265">
        <v>1</v>
      </c>
      <c r="I21" s="361">
        <f t="shared" si="10"/>
        <v>1.0971786833855799</v>
      </c>
      <c r="J21" s="265">
        <f t="shared" si="11"/>
        <v>0</v>
      </c>
      <c r="K21" s="265" t="s">
        <v>80</v>
      </c>
      <c r="L21" s="265" t="s">
        <v>80</v>
      </c>
      <c r="M21" s="265">
        <f t="shared" si="12"/>
        <v>0</v>
      </c>
      <c r="N21" s="265">
        <f t="shared" si="13"/>
        <v>0</v>
      </c>
      <c r="O21" s="265" t="s">
        <v>80</v>
      </c>
      <c r="P21" s="265" t="s">
        <v>80</v>
      </c>
      <c r="Q21" s="265">
        <f t="shared" si="14"/>
        <v>0</v>
      </c>
      <c r="R21" s="363">
        <f t="shared" si="16"/>
        <v>0</v>
      </c>
      <c r="S21" s="363">
        <v>0</v>
      </c>
      <c r="T21" s="363">
        <v>0</v>
      </c>
      <c r="U21" s="363">
        <v>0</v>
      </c>
    </row>
    <row r="22" spans="1:21" ht="20.100000000000001" customHeight="1">
      <c r="A22" s="360" t="s">
        <v>164</v>
      </c>
      <c r="B22" s="265">
        <v>2</v>
      </c>
      <c r="C22" s="265">
        <v>2</v>
      </c>
      <c r="D22" s="265" t="s">
        <v>77</v>
      </c>
      <c r="E22" s="361">
        <f t="shared" si="9"/>
        <v>0.29629629629629628</v>
      </c>
      <c r="F22" s="265">
        <v>5</v>
      </c>
      <c r="G22" s="265">
        <v>5</v>
      </c>
      <c r="H22" s="265" t="s">
        <v>77</v>
      </c>
      <c r="I22" s="361">
        <f t="shared" si="10"/>
        <v>0.7836990595611284</v>
      </c>
      <c r="J22" s="265">
        <f>SUM(K22:L22)</f>
        <v>0</v>
      </c>
      <c r="K22" s="265" t="s">
        <v>80</v>
      </c>
      <c r="L22" s="265" t="s">
        <v>80</v>
      </c>
      <c r="M22" s="265">
        <f t="shared" si="12"/>
        <v>0</v>
      </c>
      <c r="N22" s="265">
        <f>SUM(O22:P22)</f>
        <v>0</v>
      </c>
      <c r="O22" s="265" t="s">
        <v>80</v>
      </c>
      <c r="P22" s="265" t="s">
        <v>80</v>
      </c>
      <c r="Q22" s="265">
        <f t="shared" si="14"/>
        <v>0</v>
      </c>
      <c r="R22" s="363">
        <f t="shared" si="16"/>
        <v>0</v>
      </c>
      <c r="S22" s="363">
        <v>0</v>
      </c>
      <c r="T22" s="363">
        <v>0</v>
      </c>
      <c r="U22" s="363">
        <v>0</v>
      </c>
    </row>
    <row r="23" spans="1:21" ht="20.100000000000001" customHeight="1">
      <c r="A23" s="364" t="s">
        <v>166</v>
      </c>
      <c r="B23" s="276">
        <v>5</v>
      </c>
      <c r="C23" s="276">
        <v>3</v>
      </c>
      <c r="D23" s="276">
        <v>2</v>
      </c>
      <c r="E23" s="365">
        <f t="shared" si="9"/>
        <v>0.74074074074074081</v>
      </c>
      <c r="F23" s="276">
        <v>2</v>
      </c>
      <c r="G23" s="276">
        <v>1</v>
      </c>
      <c r="H23" s="276">
        <v>1</v>
      </c>
      <c r="I23" s="365">
        <f t="shared" si="10"/>
        <v>0.31347962382445138</v>
      </c>
      <c r="J23" s="276">
        <f t="shared" si="11"/>
        <v>0</v>
      </c>
      <c r="K23" s="276" t="s">
        <v>80</v>
      </c>
      <c r="L23" s="276" t="s">
        <v>80</v>
      </c>
      <c r="M23" s="276">
        <f t="shared" si="12"/>
        <v>0</v>
      </c>
      <c r="N23" s="276">
        <f t="shared" si="13"/>
        <v>0</v>
      </c>
      <c r="O23" s="276" t="s">
        <v>80</v>
      </c>
      <c r="P23" s="276" t="s">
        <v>80</v>
      </c>
      <c r="Q23" s="276">
        <f t="shared" si="14"/>
        <v>0</v>
      </c>
      <c r="R23" s="366">
        <f t="shared" si="16"/>
        <v>0</v>
      </c>
      <c r="S23" s="366">
        <v>0</v>
      </c>
      <c r="T23" s="366">
        <v>0</v>
      </c>
      <c r="U23" s="366">
        <v>0</v>
      </c>
    </row>
    <row r="24" spans="1:21">
      <c r="A24" s="491" t="s">
        <v>175</v>
      </c>
      <c r="B24" s="491"/>
      <c r="C24" s="491"/>
      <c r="D24" s="491"/>
      <c r="E24" s="491"/>
      <c r="F24" s="491"/>
      <c r="G24" s="491"/>
      <c r="H24" s="279"/>
      <c r="I24" s="279"/>
      <c r="J24" s="279"/>
      <c r="K24" s="279"/>
      <c r="L24" s="279"/>
      <c r="M24" s="279"/>
      <c r="N24" s="367"/>
      <c r="O24" s="367"/>
      <c r="P24" s="367"/>
      <c r="Q24" s="279"/>
      <c r="R24" s="279"/>
      <c r="S24" s="279"/>
      <c r="T24" s="279"/>
      <c r="U24" s="279"/>
    </row>
    <row r="25" spans="1:21" ht="87.95" customHeight="1">
      <c r="A25" s="492" t="s">
        <v>630</v>
      </c>
      <c r="B25" s="493"/>
      <c r="C25" s="493"/>
      <c r="D25" s="493"/>
      <c r="E25" s="493"/>
      <c r="F25" s="493"/>
      <c r="G25" s="493"/>
      <c r="H25" s="493"/>
      <c r="I25" s="493"/>
      <c r="J25" s="493"/>
      <c r="K25" s="493"/>
      <c r="L25" s="493"/>
      <c r="M25" s="493"/>
      <c r="N25" s="493"/>
      <c r="O25" s="493"/>
      <c r="P25" s="493"/>
      <c r="Q25" s="493"/>
      <c r="R25" s="493"/>
      <c r="S25" s="493"/>
      <c r="T25" s="493"/>
      <c r="U25" s="493"/>
    </row>
  </sheetData>
  <mergeCells count="35">
    <mergeCell ref="B14:D14"/>
    <mergeCell ref="F14:H14"/>
    <mergeCell ref="J14:L14"/>
    <mergeCell ref="M3:M4"/>
    <mergeCell ref="M14:M15"/>
    <mergeCell ref="I14:I15"/>
    <mergeCell ref="E14:E15"/>
    <mergeCell ref="A1:U1"/>
    <mergeCell ref="A2:A4"/>
    <mergeCell ref="B2:E2"/>
    <mergeCell ref="F2:I2"/>
    <mergeCell ref="N2:Q2"/>
    <mergeCell ref="B3:D3"/>
    <mergeCell ref="E3:E4"/>
    <mergeCell ref="R3:T3"/>
    <mergeCell ref="U3:U4"/>
    <mergeCell ref="F3:H3"/>
    <mergeCell ref="I3:I4"/>
    <mergeCell ref="N3:P3"/>
    <mergeCell ref="Q14:Q15"/>
    <mergeCell ref="A24:G24"/>
    <mergeCell ref="A25:U25"/>
    <mergeCell ref="J2:M2"/>
    <mergeCell ref="J3:L3"/>
    <mergeCell ref="B13:E13"/>
    <mergeCell ref="R13:U13"/>
    <mergeCell ref="R14:T14"/>
    <mergeCell ref="U14:U15"/>
    <mergeCell ref="N14:P14"/>
    <mergeCell ref="Q3:Q4"/>
    <mergeCell ref="A13:A15"/>
    <mergeCell ref="R2:U2"/>
    <mergeCell ref="F13:I13"/>
    <mergeCell ref="J13:M13"/>
    <mergeCell ref="N13:Q13"/>
  </mergeCells>
  <phoneticPr fontId="2" type="noConversion"/>
  <hyperlinks>
    <hyperlink ref="V1" location="本篇表次!A1" display="回本篇表次"/>
  </hyperlinks>
  <printOptions horizontalCentered="1" verticalCentered="1"/>
  <pageMargins left="0.70866141732283472" right="0.70866141732283472" top="0.74803149606299213" bottom="0.74803149606299213" header="0.31496062992125984" footer="0.31496062992125984"/>
  <pageSetup paperSize="224" scale="52"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L28"/>
  <sheetViews>
    <sheetView showGridLines="0" workbookViewId="0">
      <selection activeCell="L1" sqref="L1"/>
    </sheetView>
  </sheetViews>
  <sheetFormatPr defaultColWidth="9" defaultRowHeight="16.5"/>
  <cols>
    <col min="1" max="1" width="19" customWidth="1"/>
    <col min="11" max="11" width="9" customWidth="1"/>
    <col min="12" max="12" width="12.625" bestFit="1" customWidth="1"/>
  </cols>
  <sheetData>
    <row r="1" spans="1:12" ht="24" customHeight="1">
      <c r="A1" s="373" t="s">
        <v>657</v>
      </c>
      <c r="B1" s="373"/>
      <c r="C1" s="373"/>
      <c r="D1" s="373"/>
      <c r="E1" s="373"/>
      <c r="F1" s="373"/>
      <c r="G1" s="373"/>
      <c r="H1" s="373"/>
      <c r="I1" s="373"/>
      <c r="J1" s="373"/>
      <c r="K1" s="373"/>
      <c r="L1" s="348" t="s">
        <v>644</v>
      </c>
    </row>
    <row r="2" spans="1:12" ht="20.100000000000001" customHeight="1">
      <c r="A2" s="58"/>
      <c r="B2" s="461" t="s">
        <v>100</v>
      </c>
      <c r="C2" s="378"/>
      <c r="D2" s="461" t="s">
        <v>101</v>
      </c>
      <c r="E2" s="452"/>
      <c r="F2" s="461" t="s">
        <v>102</v>
      </c>
      <c r="G2" s="452"/>
      <c r="H2" s="461" t="s">
        <v>103</v>
      </c>
      <c r="I2" s="378"/>
      <c r="J2" s="461" t="s">
        <v>104</v>
      </c>
      <c r="K2" s="378"/>
    </row>
    <row r="3" spans="1:12" ht="20.100000000000001" customHeight="1">
      <c r="A3" s="5"/>
      <c r="B3" s="10" t="s">
        <v>105</v>
      </c>
      <c r="C3" s="10" t="s">
        <v>106</v>
      </c>
      <c r="D3" s="10" t="s">
        <v>105</v>
      </c>
      <c r="E3" s="10" t="s">
        <v>106</v>
      </c>
      <c r="F3" s="10" t="s">
        <v>105</v>
      </c>
      <c r="G3" s="10" t="s">
        <v>106</v>
      </c>
      <c r="H3" s="10" t="s">
        <v>105</v>
      </c>
      <c r="I3" s="10" t="s">
        <v>106</v>
      </c>
      <c r="J3" s="10" t="s">
        <v>105</v>
      </c>
      <c r="K3" s="10" t="s">
        <v>106</v>
      </c>
    </row>
    <row r="4" spans="1:12" ht="20.100000000000001" customHeight="1">
      <c r="A4" s="59" t="s">
        <v>107</v>
      </c>
      <c r="B4" s="6">
        <f>SUM(B5:B6)</f>
        <v>3302</v>
      </c>
      <c r="C4" s="33">
        <f>SUM(B5:B6)/B4*100</f>
        <v>100</v>
      </c>
      <c r="D4" s="6">
        <f>SUM(D5:D6)</f>
        <v>2105</v>
      </c>
      <c r="E4" s="33">
        <f>SUM(D5:D6)/D4*100</f>
        <v>100</v>
      </c>
      <c r="F4" s="12">
        <f>SUM(F5:F6)</f>
        <v>2076</v>
      </c>
      <c r="G4" s="33">
        <f>SUM(F5:F6)/F4*100</f>
        <v>100</v>
      </c>
      <c r="H4" s="6">
        <f t="shared" ref="H4" si="0">SUM(H5:H6)</f>
        <v>1386</v>
      </c>
      <c r="I4" s="33">
        <f>SUM(H5:H6)/H4*100</f>
        <v>100</v>
      </c>
      <c r="J4" s="6">
        <f>SUM(J5:J6)</f>
        <v>835</v>
      </c>
      <c r="K4" s="33">
        <f>SUM(J5:J6)/J4*100</f>
        <v>100</v>
      </c>
    </row>
    <row r="5" spans="1:12">
      <c r="A5" s="60" t="s">
        <v>108</v>
      </c>
      <c r="B5" s="6">
        <v>2550</v>
      </c>
      <c r="C5" s="39">
        <f t="shared" ref="C5:C13" si="1">IFERROR(B5/B$4*100,"-")</f>
        <v>77.225923682616596</v>
      </c>
      <c r="D5" s="61">
        <v>1547</v>
      </c>
      <c r="E5" s="39">
        <f t="shared" ref="E5:E13" si="2">IFERROR(D5/D$4*100,"-")</f>
        <v>73.4916864608076</v>
      </c>
      <c r="F5" s="6">
        <v>1528</v>
      </c>
      <c r="G5" s="39">
        <f t="shared" ref="G5:G13" si="3">IFERROR(F5/F$4*100,"-")</f>
        <v>73.603082851637765</v>
      </c>
      <c r="H5" s="6">
        <v>1000</v>
      </c>
      <c r="I5" s="39">
        <f t="shared" ref="I5:I13" si="4">IFERROR(H5/H$4*100,"-")</f>
        <v>72.150072150072148</v>
      </c>
      <c r="J5" s="6">
        <v>596</v>
      </c>
      <c r="K5" s="39">
        <f t="shared" ref="K5:K13" si="5">IFERROR(J5/J$4*100,"-")</f>
        <v>71.377245508982028</v>
      </c>
    </row>
    <row r="6" spans="1:12" ht="17.100000000000001" customHeight="1">
      <c r="A6" s="62" t="s">
        <v>109</v>
      </c>
      <c r="B6" s="8">
        <v>752</v>
      </c>
      <c r="C6" s="52">
        <f t="shared" si="1"/>
        <v>22.774076317383404</v>
      </c>
      <c r="D6" s="63">
        <v>558</v>
      </c>
      <c r="E6" s="52">
        <f t="shared" si="2"/>
        <v>26.508313539192397</v>
      </c>
      <c r="F6" s="8">
        <v>548</v>
      </c>
      <c r="G6" s="52">
        <f t="shared" si="3"/>
        <v>26.396917148362238</v>
      </c>
      <c r="H6" s="8">
        <v>386</v>
      </c>
      <c r="I6" s="52">
        <f t="shared" si="4"/>
        <v>27.849927849927852</v>
      </c>
      <c r="J6" s="8">
        <v>239</v>
      </c>
      <c r="K6" s="52">
        <f t="shared" si="5"/>
        <v>28.622754491017965</v>
      </c>
    </row>
    <row r="7" spans="1:12" ht="20.100000000000001" customHeight="1">
      <c r="A7" s="27" t="s">
        <v>177</v>
      </c>
      <c r="B7" s="6">
        <v>1</v>
      </c>
      <c r="C7" s="39">
        <f t="shared" si="1"/>
        <v>3.0284675953967291E-2</v>
      </c>
      <c r="D7" s="6" t="s">
        <v>9</v>
      </c>
      <c r="E7" s="39" t="str">
        <f t="shared" si="2"/>
        <v>-</v>
      </c>
      <c r="F7" s="6" t="s">
        <v>9</v>
      </c>
      <c r="G7" s="39" t="str">
        <f t="shared" si="3"/>
        <v>-</v>
      </c>
      <c r="H7" s="6" t="s">
        <v>9</v>
      </c>
      <c r="I7" s="39" t="str">
        <f t="shared" si="4"/>
        <v>-</v>
      </c>
      <c r="J7" s="6" t="s">
        <v>9</v>
      </c>
      <c r="K7" s="39" t="str">
        <f t="shared" si="5"/>
        <v>-</v>
      </c>
    </row>
    <row r="8" spans="1:12" ht="20.100000000000001" customHeight="1">
      <c r="A8" s="27" t="s">
        <v>178</v>
      </c>
      <c r="B8" s="6">
        <v>19</v>
      </c>
      <c r="C8" s="39">
        <f t="shared" si="1"/>
        <v>0.57540884312537854</v>
      </c>
      <c r="D8" s="6">
        <v>19</v>
      </c>
      <c r="E8" s="39">
        <f t="shared" si="2"/>
        <v>0.90261282660332542</v>
      </c>
      <c r="F8" s="6">
        <v>19</v>
      </c>
      <c r="G8" s="39">
        <f t="shared" si="3"/>
        <v>0.91522157996146436</v>
      </c>
      <c r="H8" s="6">
        <v>18</v>
      </c>
      <c r="I8" s="39">
        <f t="shared" si="4"/>
        <v>1.2987012987012987</v>
      </c>
      <c r="J8" s="6">
        <v>7</v>
      </c>
      <c r="K8" s="39">
        <f t="shared" si="5"/>
        <v>0.83832335329341312</v>
      </c>
    </row>
    <row r="9" spans="1:12" ht="20.100000000000001" customHeight="1">
      <c r="A9" s="27" t="s">
        <v>179</v>
      </c>
      <c r="B9" s="6">
        <v>144</v>
      </c>
      <c r="C9" s="39">
        <f t="shared" si="1"/>
        <v>4.3609933373712906</v>
      </c>
      <c r="D9" s="6">
        <v>104</v>
      </c>
      <c r="E9" s="39">
        <f t="shared" si="2"/>
        <v>4.9406175771971501</v>
      </c>
      <c r="F9" s="6">
        <v>107</v>
      </c>
      <c r="G9" s="39">
        <f t="shared" si="3"/>
        <v>5.1541425818882463</v>
      </c>
      <c r="H9" s="6">
        <v>66</v>
      </c>
      <c r="I9" s="39">
        <f t="shared" si="4"/>
        <v>4.7619047619047619</v>
      </c>
      <c r="J9" s="6">
        <v>55</v>
      </c>
      <c r="K9" s="39">
        <f t="shared" si="5"/>
        <v>6.5868263473053901</v>
      </c>
    </row>
    <row r="10" spans="1:12" ht="20.100000000000001" customHeight="1">
      <c r="A10" s="27" t="s">
        <v>180</v>
      </c>
      <c r="B10" s="6">
        <v>328</v>
      </c>
      <c r="C10" s="39">
        <f t="shared" si="1"/>
        <v>9.9333737129012718</v>
      </c>
      <c r="D10" s="6">
        <v>227</v>
      </c>
      <c r="E10" s="39">
        <f t="shared" si="2"/>
        <v>10.783847980997626</v>
      </c>
      <c r="F10" s="6">
        <v>248</v>
      </c>
      <c r="G10" s="39">
        <f t="shared" si="3"/>
        <v>11.946050096339114</v>
      </c>
      <c r="H10" s="6">
        <v>185</v>
      </c>
      <c r="I10" s="39">
        <f t="shared" si="4"/>
        <v>13.347763347763347</v>
      </c>
      <c r="J10" s="6">
        <v>119</v>
      </c>
      <c r="K10" s="39">
        <f t="shared" si="5"/>
        <v>14.251497005988023</v>
      </c>
    </row>
    <row r="11" spans="1:12" ht="20.100000000000001" customHeight="1">
      <c r="A11" s="27" t="s">
        <v>181</v>
      </c>
      <c r="B11" s="6">
        <v>639</v>
      </c>
      <c r="C11" s="39">
        <f t="shared" si="1"/>
        <v>19.3519079345851</v>
      </c>
      <c r="D11" s="6">
        <v>353</v>
      </c>
      <c r="E11" s="39">
        <f t="shared" si="2"/>
        <v>16.769596199524941</v>
      </c>
      <c r="F11" s="6">
        <v>304</v>
      </c>
      <c r="G11" s="39">
        <f t="shared" si="3"/>
        <v>14.64354527938343</v>
      </c>
      <c r="H11" s="6">
        <v>209</v>
      </c>
      <c r="I11" s="39">
        <f t="shared" si="4"/>
        <v>15.079365079365079</v>
      </c>
      <c r="J11" s="6">
        <v>112</v>
      </c>
      <c r="K11" s="39">
        <f t="shared" si="5"/>
        <v>13.41317365269461</v>
      </c>
    </row>
    <row r="12" spans="1:12" ht="20.100000000000001" customHeight="1">
      <c r="A12" s="27" t="s">
        <v>182</v>
      </c>
      <c r="B12" s="6">
        <v>906</v>
      </c>
      <c r="C12" s="39">
        <f t="shared" si="1"/>
        <v>27.437916414294367</v>
      </c>
      <c r="D12" s="6">
        <v>557</v>
      </c>
      <c r="E12" s="39">
        <f t="shared" si="2"/>
        <v>26.460807600950119</v>
      </c>
      <c r="F12" s="6">
        <v>539</v>
      </c>
      <c r="G12" s="39">
        <f t="shared" si="3"/>
        <v>25.96339113680154</v>
      </c>
      <c r="H12" s="6">
        <v>345</v>
      </c>
      <c r="I12" s="39">
        <f t="shared" si="4"/>
        <v>24.891774891774894</v>
      </c>
      <c r="J12" s="6">
        <v>217</v>
      </c>
      <c r="K12" s="39">
        <f t="shared" si="5"/>
        <v>25.988023952095809</v>
      </c>
    </row>
    <row r="13" spans="1:12" ht="20.100000000000001" customHeight="1" thickBot="1">
      <c r="A13" s="40" t="s">
        <v>183</v>
      </c>
      <c r="B13" s="29">
        <v>1265</v>
      </c>
      <c r="C13" s="64">
        <f t="shared" si="1"/>
        <v>38.310115081768629</v>
      </c>
      <c r="D13" s="29">
        <v>845</v>
      </c>
      <c r="E13" s="64">
        <f t="shared" si="2"/>
        <v>40.142517814726844</v>
      </c>
      <c r="F13" s="29">
        <v>859</v>
      </c>
      <c r="G13" s="64">
        <f t="shared" si="3"/>
        <v>41.377649325626201</v>
      </c>
      <c r="H13" s="29">
        <v>563</v>
      </c>
      <c r="I13" s="64">
        <f t="shared" si="4"/>
        <v>40.620490620490621</v>
      </c>
      <c r="J13" s="29">
        <v>325</v>
      </c>
      <c r="K13" s="64">
        <f t="shared" si="5"/>
        <v>38.922155688622759</v>
      </c>
    </row>
    <row r="14" spans="1:12" ht="20.100000000000001" customHeight="1">
      <c r="A14" s="5"/>
      <c r="B14" s="503" t="s">
        <v>115</v>
      </c>
      <c r="C14" s="453"/>
      <c r="D14" s="503" t="s">
        <v>116</v>
      </c>
      <c r="E14" s="453"/>
      <c r="F14" s="503" t="s">
        <v>117</v>
      </c>
      <c r="G14" s="453"/>
      <c r="H14" s="462" t="s">
        <v>118</v>
      </c>
      <c r="I14" s="450"/>
      <c r="J14" s="462" t="s">
        <v>185</v>
      </c>
      <c r="K14" s="450"/>
    </row>
    <row r="15" spans="1:12" ht="20.100000000000001" customHeight="1">
      <c r="A15" s="5"/>
      <c r="B15" s="10" t="s">
        <v>105</v>
      </c>
      <c r="C15" s="10" t="s">
        <v>106</v>
      </c>
      <c r="D15" s="10" t="s">
        <v>105</v>
      </c>
      <c r="E15" s="10" t="s">
        <v>106</v>
      </c>
      <c r="F15" s="10" t="s">
        <v>105</v>
      </c>
      <c r="G15" s="10" t="s">
        <v>106</v>
      </c>
      <c r="H15" s="10" t="s">
        <v>105</v>
      </c>
      <c r="I15" s="10" t="s">
        <v>106</v>
      </c>
      <c r="J15" s="10" t="s">
        <v>105</v>
      </c>
      <c r="K15" s="10" t="s">
        <v>106</v>
      </c>
    </row>
    <row r="16" spans="1:12" ht="20.100000000000001" customHeight="1">
      <c r="A16" s="59" t="s">
        <v>107</v>
      </c>
      <c r="B16" s="6">
        <f>SUM(B17:B18)</f>
        <v>675</v>
      </c>
      <c r="C16" s="33">
        <f>SUM(B17:B18)/B16*100</f>
        <v>100</v>
      </c>
      <c r="D16" s="6">
        <f>SUM(D17:D18)</f>
        <v>638</v>
      </c>
      <c r="E16" s="33">
        <f>SUM(D17:D18)/D16*100</f>
        <v>100</v>
      </c>
      <c r="F16" s="12">
        <f>SUM(F19:F25)</f>
        <v>544</v>
      </c>
      <c r="G16" s="33">
        <f>SUM(F17:F18)/F16*100</f>
        <v>100</v>
      </c>
      <c r="H16" s="12">
        <f>SUM(H19:H25)</f>
        <v>387</v>
      </c>
      <c r="I16" s="33">
        <f>SUM(H17:H18)/H16*100</f>
        <v>100</v>
      </c>
      <c r="J16" s="43">
        <f>SUM(J17:J18)</f>
        <v>349</v>
      </c>
      <c r="K16" s="44">
        <f>SUM(K17:K18)</f>
        <v>100</v>
      </c>
    </row>
    <row r="17" spans="1:11">
      <c r="A17" s="60" t="s">
        <v>108</v>
      </c>
      <c r="B17" s="6">
        <v>468</v>
      </c>
      <c r="C17" s="39">
        <f t="shared" ref="C17:C25" si="6">IFERROR(B17/B$16*100,"-")</f>
        <v>69.333333333333343</v>
      </c>
      <c r="D17" s="61">
        <v>502</v>
      </c>
      <c r="E17" s="39">
        <f t="shared" ref="E17:E25" si="7">IFERROR(D17/D$16*100,"-")</f>
        <v>78.683385579937308</v>
      </c>
      <c r="F17" s="6">
        <v>442</v>
      </c>
      <c r="G17" s="39">
        <f t="shared" ref="G17:G25" si="8">IFERROR(F17/F$16*100,"-")</f>
        <v>81.25</v>
      </c>
      <c r="H17" s="6">
        <v>302</v>
      </c>
      <c r="I17" s="39">
        <f t="shared" ref="I17:I25" si="9">IFERROR(H17/H$16*100,"-")</f>
        <v>78.036175710594307</v>
      </c>
      <c r="J17" s="43">
        <v>295</v>
      </c>
      <c r="K17" s="44">
        <f>IFERROR(J17/J$16*100,"-")</f>
        <v>84.527220630372497</v>
      </c>
    </row>
    <row r="18" spans="1:11" ht="17.100000000000001" customHeight="1">
      <c r="A18" s="62" t="s">
        <v>109</v>
      </c>
      <c r="B18" s="8">
        <v>207</v>
      </c>
      <c r="C18" s="52">
        <f t="shared" si="6"/>
        <v>30.666666666666664</v>
      </c>
      <c r="D18" s="63">
        <v>136</v>
      </c>
      <c r="E18" s="52">
        <f t="shared" si="7"/>
        <v>21.316614420062695</v>
      </c>
      <c r="F18" s="8">
        <v>102</v>
      </c>
      <c r="G18" s="52">
        <f t="shared" si="8"/>
        <v>18.75</v>
      </c>
      <c r="H18" s="8">
        <v>85</v>
      </c>
      <c r="I18" s="52">
        <f t="shared" si="9"/>
        <v>21.963824289405682</v>
      </c>
      <c r="J18" s="43">
        <v>54</v>
      </c>
      <c r="K18" s="50">
        <f>IFERROR(J18/J$16*100,"-")</f>
        <v>15.472779369627506</v>
      </c>
    </row>
    <row r="19" spans="1:11" ht="20.100000000000001" customHeight="1">
      <c r="A19" s="27" t="s">
        <v>177</v>
      </c>
      <c r="B19" s="6" t="s">
        <v>9</v>
      </c>
      <c r="C19" s="39" t="str">
        <f t="shared" si="6"/>
        <v>-</v>
      </c>
      <c r="D19" s="6" t="s">
        <v>9</v>
      </c>
      <c r="E19" s="39" t="str">
        <f t="shared" si="7"/>
        <v>-</v>
      </c>
      <c r="F19" s="6" t="s">
        <v>80</v>
      </c>
      <c r="G19" s="39" t="str">
        <f t="shared" si="8"/>
        <v>-</v>
      </c>
      <c r="H19" s="6" t="s">
        <v>80</v>
      </c>
      <c r="I19" s="39" t="str">
        <f t="shared" si="9"/>
        <v>-</v>
      </c>
      <c r="J19" s="158">
        <v>0</v>
      </c>
      <c r="K19" s="56">
        <f t="shared" ref="K19:K25" si="10">IFERROR(J19/J$16*100,"-")</f>
        <v>0</v>
      </c>
    </row>
    <row r="20" spans="1:11" ht="20.100000000000001" customHeight="1">
      <c r="A20" s="27" t="s">
        <v>178</v>
      </c>
      <c r="B20" s="6">
        <v>15</v>
      </c>
      <c r="C20" s="39">
        <f t="shared" si="6"/>
        <v>2.2222222222222223</v>
      </c>
      <c r="D20" s="6">
        <v>7</v>
      </c>
      <c r="E20" s="39">
        <f t="shared" si="7"/>
        <v>1.0971786833855799</v>
      </c>
      <c r="F20" s="6">
        <v>2</v>
      </c>
      <c r="G20" s="39">
        <f t="shared" si="8"/>
        <v>0.36764705882352938</v>
      </c>
      <c r="H20" s="6">
        <v>1</v>
      </c>
      <c r="I20" s="39">
        <f t="shared" si="9"/>
        <v>0.2583979328165375</v>
      </c>
      <c r="J20" s="43">
        <v>1</v>
      </c>
      <c r="K20" s="44">
        <f t="shared" si="10"/>
        <v>0.28653295128939826</v>
      </c>
    </row>
    <row r="21" spans="1:11" ht="20.100000000000001" customHeight="1">
      <c r="A21" s="27" t="s">
        <v>179</v>
      </c>
      <c r="B21" s="6">
        <v>42</v>
      </c>
      <c r="C21" s="39">
        <f t="shared" si="6"/>
        <v>6.2222222222222223</v>
      </c>
      <c r="D21" s="6">
        <v>27</v>
      </c>
      <c r="E21" s="39">
        <f t="shared" si="7"/>
        <v>4.2319749216300941</v>
      </c>
      <c r="F21" s="6">
        <v>13</v>
      </c>
      <c r="G21" s="39">
        <f t="shared" si="8"/>
        <v>2.3897058823529411</v>
      </c>
      <c r="H21" s="6">
        <v>13</v>
      </c>
      <c r="I21" s="39">
        <f t="shared" si="9"/>
        <v>3.3591731266149871</v>
      </c>
      <c r="J21" s="43">
        <v>11</v>
      </c>
      <c r="K21" s="44">
        <f t="shared" si="10"/>
        <v>3.151862464183381</v>
      </c>
    </row>
    <row r="22" spans="1:11" ht="20.100000000000001" customHeight="1">
      <c r="A22" s="27" t="s">
        <v>180</v>
      </c>
      <c r="B22" s="6">
        <v>81</v>
      </c>
      <c r="C22" s="39">
        <f t="shared" si="6"/>
        <v>12</v>
      </c>
      <c r="D22" s="6">
        <v>84</v>
      </c>
      <c r="E22" s="39">
        <f t="shared" si="7"/>
        <v>13.166144200626958</v>
      </c>
      <c r="F22" s="6">
        <v>47</v>
      </c>
      <c r="G22" s="39">
        <f t="shared" si="8"/>
        <v>8.6397058823529402</v>
      </c>
      <c r="H22" s="6">
        <v>45</v>
      </c>
      <c r="I22" s="39">
        <f t="shared" si="9"/>
        <v>11.627906976744185</v>
      </c>
      <c r="J22" s="43">
        <v>33</v>
      </c>
      <c r="K22" s="44">
        <f t="shared" si="10"/>
        <v>9.455587392550143</v>
      </c>
    </row>
    <row r="23" spans="1:11" ht="20.100000000000001" customHeight="1">
      <c r="A23" s="27" t="s">
        <v>181</v>
      </c>
      <c r="B23" s="6">
        <v>115</v>
      </c>
      <c r="C23" s="39">
        <f t="shared" si="6"/>
        <v>17.037037037037038</v>
      </c>
      <c r="D23" s="6">
        <v>94</v>
      </c>
      <c r="E23" s="39">
        <f t="shared" si="7"/>
        <v>14.733542319749215</v>
      </c>
      <c r="F23" s="6">
        <v>111</v>
      </c>
      <c r="G23" s="39">
        <f t="shared" si="8"/>
        <v>20.40441176470588</v>
      </c>
      <c r="H23" s="6">
        <v>61</v>
      </c>
      <c r="I23" s="39">
        <f t="shared" si="9"/>
        <v>15.762273901808785</v>
      </c>
      <c r="J23" s="43">
        <v>63</v>
      </c>
      <c r="K23" s="44">
        <f t="shared" si="10"/>
        <v>18.05157593123209</v>
      </c>
    </row>
    <row r="24" spans="1:11" ht="20.100000000000001" customHeight="1">
      <c r="A24" s="27" t="s">
        <v>182</v>
      </c>
      <c r="B24" s="6">
        <v>173</v>
      </c>
      <c r="C24" s="39">
        <f t="shared" si="6"/>
        <v>25.62962962962963</v>
      </c>
      <c r="D24" s="6">
        <v>175</v>
      </c>
      <c r="E24" s="39">
        <f t="shared" si="7"/>
        <v>27.429467084639498</v>
      </c>
      <c r="F24" s="6">
        <v>145</v>
      </c>
      <c r="G24" s="39">
        <f t="shared" si="8"/>
        <v>26.65441176470588</v>
      </c>
      <c r="H24" s="6">
        <v>114</v>
      </c>
      <c r="I24" s="39">
        <f t="shared" si="9"/>
        <v>29.457364341085274</v>
      </c>
      <c r="J24" s="43">
        <v>110</v>
      </c>
      <c r="K24" s="44">
        <f t="shared" si="10"/>
        <v>31.51862464183381</v>
      </c>
    </row>
    <row r="25" spans="1:11" ht="20.100000000000001" customHeight="1">
      <c r="A25" s="38" t="s">
        <v>183</v>
      </c>
      <c r="B25" s="8">
        <v>249</v>
      </c>
      <c r="C25" s="52">
        <f t="shared" si="6"/>
        <v>36.888888888888886</v>
      </c>
      <c r="D25" s="8">
        <v>251</v>
      </c>
      <c r="E25" s="52">
        <f t="shared" si="7"/>
        <v>39.341692789968654</v>
      </c>
      <c r="F25" s="8">
        <v>226</v>
      </c>
      <c r="G25" s="52">
        <f t="shared" si="8"/>
        <v>41.544117647058826</v>
      </c>
      <c r="H25" s="8">
        <v>153</v>
      </c>
      <c r="I25" s="52">
        <f t="shared" si="9"/>
        <v>39.534883720930232</v>
      </c>
      <c r="J25" s="51">
        <v>131</v>
      </c>
      <c r="K25" s="50">
        <f t="shared" si="10"/>
        <v>37.535816618911177</v>
      </c>
    </row>
    <row r="26" spans="1:11">
      <c r="A26" s="501" t="s">
        <v>184</v>
      </c>
      <c r="B26" s="448"/>
      <c r="C26" s="448"/>
      <c r="D26" s="448"/>
      <c r="E26" s="448"/>
      <c r="F26" s="59"/>
      <c r="G26" s="59"/>
      <c r="H26" s="59"/>
      <c r="I26" s="59"/>
      <c r="J26" s="59"/>
      <c r="K26" s="59"/>
    </row>
    <row r="27" spans="1:11" s="502" customFormat="1" ht="27.95" customHeight="1">
      <c r="A27" s="446" t="s">
        <v>447</v>
      </c>
      <c r="B27" s="446"/>
      <c r="C27" s="446"/>
      <c r="D27" s="446"/>
      <c r="E27" s="446"/>
      <c r="F27" s="446"/>
      <c r="G27" s="446"/>
      <c r="H27" s="446"/>
      <c r="I27" s="446"/>
      <c r="J27" s="446"/>
      <c r="K27" s="446"/>
    </row>
    <row r="28" spans="1:11" s="502" customFormat="1" ht="27.95" customHeight="1">
      <c r="A28" s="446"/>
      <c r="B28" s="446"/>
      <c r="C28" s="446"/>
      <c r="D28" s="446"/>
      <c r="E28" s="446"/>
      <c r="F28" s="446"/>
      <c r="G28" s="446"/>
      <c r="H28" s="446"/>
      <c r="I28" s="446"/>
      <c r="J28" s="446"/>
      <c r="K28" s="446"/>
    </row>
  </sheetData>
  <mergeCells count="13">
    <mergeCell ref="A1:K1"/>
    <mergeCell ref="B2:C2"/>
    <mergeCell ref="F2:G2"/>
    <mergeCell ref="H2:I2"/>
    <mergeCell ref="D2:E2"/>
    <mergeCell ref="A26:E26"/>
    <mergeCell ref="A27:XFD28"/>
    <mergeCell ref="J14:K14"/>
    <mergeCell ref="B14:C14"/>
    <mergeCell ref="J2:K2"/>
    <mergeCell ref="D14:E14"/>
    <mergeCell ref="F14:G14"/>
    <mergeCell ref="H14:I14"/>
  </mergeCells>
  <phoneticPr fontId="2" type="noConversion"/>
  <hyperlinks>
    <hyperlink ref="L1" location="本篇表次!A1" display="回本篇表次"/>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L25"/>
  <sheetViews>
    <sheetView showGridLines="0" workbookViewId="0">
      <selection sqref="A1:U1"/>
    </sheetView>
  </sheetViews>
  <sheetFormatPr defaultColWidth="8.625" defaultRowHeight="16.5"/>
  <cols>
    <col min="1" max="1" width="26.875" customWidth="1"/>
    <col min="11" max="11" width="8.625" customWidth="1"/>
    <col min="12" max="12" width="12.625" bestFit="1" customWidth="1"/>
  </cols>
  <sheetData>
    <row r="1" spans="1:12" ht="24.95" customHeight="1">
      <c r="A1" s="373" t="s">
        <v>658</v>
      </c>
      <c r="B1" s="373"/>
      <c r="C1" s="373"/>
      <c r="D1" s="373"/>
      <c r="E1" s="373"/>
      <c r="F1" s="373"/>
      <c r="G1" s="373"/>
      <c r="H1" s="373"/>
      <c r="I1" s="373"/>
      <c r="J1" s="373"/>
      <c r="K1" s="373"/>
      <c r="L1" s="348" t="s">
        <v>644</v>
      </c>
    </row>
    <row r="2" spans="1:12" ht="20.100000000000001" customHeight="1">
      <c r="A2" s="19"/>
      <c r="B2" s="461" t="s">
        <v>100</v>
      </c>
      <c r="C2" s="378"/>
      <c r="D2" s="461" t="s">
        <v>101</v>
      </c>
      <c r="E2" s="452"/>
      <c r="F2" s="461" t="s">
        <v>102</v>
      </c>
      <c r="G2" s="378"/>
      <c r="H2" s="461" t="s">
        <v>103</v>
      </c>
      <c r="I2" s="378"/>
      <c r="J2" s="461" t="s">
        <v>104</v>
      </c>
      <c r="K2" s="378"/>
    </row>
    <row r="3" spans="1:12" ht="20.100000000000001" customHeight="1">
      <c r="A3" s="65"/>
      <c r="B3" s="10" t="s">
        <v>105</v>
      </c>
      <c r="C3" s="10" t="s">
        <v>106</v>
      </c>
      <c r="D3" s="10" t="s">
        <v>105</v>
      </c>
      <c r="E3" s="10" t="s">
        <v>106</v>
      </c>
      <c r="F3" s="10" t="s">
        <v>105</v>
      </c>
      <c r="G3" s="10" t="s">
        <v>106</v>
      </c>
      <c r="H3" s="10" t="s">
        <v>105</v>
      </c>
      <c r="I3" s="10" t="s">
        <v>106</v>
      </c>
      <c r="J3" s="10" t="s">
        <v>105</v>
      </c>
      <c r="K3" s="10" t="s">
        <v>106</v>
      </c>
    </row>
    <row r="4" spans="1:12" ht="18" customHeight="1">
      <c r="A4" s="27" t="s">
        <v>107</v>
      </c>
      <c r="B4" s="66">
        <v>3302</v>
      </c>
      <c r="C4" s="67">
        <f>SUM(C5:C12)</f>
        <v>99.999999999999986</v>
      </c>
      <c r="D4" s="66">
        <v>2105</v>
      </c>
      <c r="E4" s="67">
        <f>SUM(E5:E12)</f>
        <v>100</v>
      </c>
      <c r="F4" s="66">
        <v>2076</v>
      </c>
      <c r="G4" s="67">
        <f>SUM(G5:G12)</f>
        <v>100</v>
      </c>
      <c r="H4" s="66">
        <v>1386</v>
      </c>
      <c r="I4" s="67">
        <f>SUM(I5:I12)</f>
        <v>100</v>
      </c>
      <c r="J4" s="66">
        <v>835</v>
      </c>
      <c r="K4" s="67">
        <f>SUM(K5:K12)</f>
        <v>100</v>
      </c>
    </row>
    <row r="5" spans="1:12" ht="18" customHeight="1">
      <c r="A5" s="27" t="s">
        <v>186</v>
      </c>
      <c r="B5" s="68">
        <v>1857</v>
      </c>
      <c r="C5" s="22">
        <f t="shared" ref="C5:C12" si="0">IFERROR(B5/B$4*100,"-")</f>
        <v>56.238643246517263</v>
      </c>
      <c r="D5" s="68">
        <v>1131</v>
      </c>
      <c r="E5" s="22">
        <f t="shared" ref="E5:E12" si="1">IFERROR(D5/D$4*100,"-")</f>
        <v>53.729216152018999</v>
      </c>
      <c r="F5" s="68">
        <v>1211</v>
      </c>
      <c r="G5" s="22">
        <f t="shared" ref="G5:G12" si="2">IFERROR(F5/F$4*100,"-")</f>
        <v>58.333333333333336</v>
      </c>
      <c r="H5" s="68">
        <v>805</v>
      </c>
      <c r="I5" s="22">
        <f t="shared" ref="I5:I12" si="3">IFERROR(H5/H$4*100,"-")</f>
        <v>58.080808080808076</v>
      </c>
      <c r="J5" s="68">
        <v>488</v>
      </c>
      <c r="K5" s="22">
        <f t="shared" ref="K5:K12" si="4">IFERROR(J5/J$4*100,"-")</f>
        <v>58.443113772455092</v>
      </c>
    </row>
    <row r="6" spans="1:12" ht="18" customHeight="1">
      <c r="A6" s="27" t="s">
        <v>187</v>
      </c>
      <c r="B6" s="68">
        <v>903</v>
      </c>
      <c r="C6" s="22">
        <f t="shared" si="0"/>
        <v>27.347062386432462</v>
      </c>
      <c r="D6" s="68">
        <v>638</v>
      </c>
      <c r="E6" s="22">
        <f t="shared" si="1"/>
        <v>30.308788598574822</v>
      </c>
      <c r="F6" s="68">
        <v>582</v>
      </c>
      <c r="G6" s="22">
        <f t="shared" si="2"/>
        <v>28.034682080924856</v>
      </c>
      <c r="H6" s="68">
        <v>417</v>
      </c>
      <c r="I6" s="22">
        <f t="shared" si="3"/>
        <v>30.086580086580089</v>
      </c>
      <c r="J6" s="68">
        <v>255</v>
      </c>
      <c r="K6" s="22">
        <f t="shared" si="4"/>
        <v>30.538922155688624</v>
      </c>
    </row>
    <row r="7" spans="1:12" ht="18" customHeight="1">
      <c r="A7" s="27" t="s">
        <v>188</v>
      </c>
      <c r="B7" s="68">
        <v>502</v>
      </c>
      <c r="C7" s="22">
        <f t="shared" si="0"/>
        <v>15.20290732889158</v>
      </c>
      <c r="D7" s="68">
        <v>306</v>
      </c>
      <c r="E7" s="22">
        <f t="shared" si="1"/>
        <v>14.536817102137768</v>
      </c>
      <c r="F7" s="68">
        <v>263</v>
      </c>
      <c r="G7" s="22">
        <f t="shared" si="2"/>
        <v>12.668593448940268</v>
      </c>
      <c r="H7" s="68">
        <v>138</v>
      </c>
      <c r="I7" s="22">
        <f t="shared" si="3"/>
        <v>9.9567099567099575</v>
      </c>
      <c r="J7" s="68">
        <v>78</v>
      </c>
      <c r="K7" s="22">
        <f t="shared" si="4"/>
        <v>9.341317365269461</v>
      </c>
    </row>
    <row r="8" spans="1:12" ht="18" customHeight="1">
      <c r="A8" s="27" t="s">
        <v>189</v>
      </c>
      <c r="B8" s="68">
        <v>7</v>
      </c>
      <c r="C8" s="22">
        <f t="shared" si="0"/>
        <v>0.21199273167777105</v>
      </c>
      <c r="D8" s="68">
        <v>3</v>
      </c>
      <c r="E8" s="22">
        <f t="shared" si="1"/>
        <v>0.14251781472684086</v>
      </c>
      <c r="F8" s="68">
        <v>4</v>
      </c>
      <c r="G8" s="22">
        <f t="shared" si="2"/>
        <v>0.19267822736030829</v>
      </c>
      <c r="H8" s="68">
        <v>2</v>
      </c>
      <c r="I8" s="22">
        <f t="shared" si="3"/>
        <v>0.14430014430014429</v>
      </c>
      <c r="J8" s="68">
        <v>2</v>
      </c>
      <c r="K8" s="22">
        <f t="shared" si="4"/>
        <v>0.23952095808383234</v>
      </c>
    </row>
    <row r="9" spans="1:12" ht="18" customHeight="1">
      <c r="A9" s="27" t="s">
        <v>191</v>
      </c>
      <c r="B9" s="68">
        <v>24</v>
      </c>
      <c r="C9" s="22">
        <f>IFERROR(B9/B$4*100,"-")</f>
        <v>0.7268322228952151</v>
      </c>
      <c r="D9" s="68">
        <v>13</v>
      </c>
      <c r="E9" s="22">
        <f>IFERROR(D9/D$4*100,"-")</f>
        <v>0.61757719714964376</v>
      </c>
      <c r="F9" s="68">
        <v>10</v>
      </c>
      <c r="G9" s="22">
        <f>IFERROR(F9/F$4*100,"-")</f>
        <v>0.48169556840077066</v>
      </c>
      <c r="H9" s="68">
        <v>19</v>
      </c>
      <c r="I9" s="22">
        <f>IFERROR(H9/H$4*100,"-")</f>
        <v>1.3708513708513708</v>
      </c>
      <c r="J9" s="68">
        <v>3</v>
      </c>
      <c r="K9" s="22">
        <f>IFERROR(J9/J$4*100,"-")</f>
        <v>0.3592814371257485</v>
      </c>
    </row>
    <row r="10" spans="1:12" ht="18" customHeight="1">
      <c r="A10" s="27" t="s">
        <v>190</v>
      </c>
      <c r="B10" s="68">
        <v>2</v>
      </c>
      <c r="C10" s="22">
        <f t="shared" si="0"/>
        <v>6.0569351907934582E-2</v>
      </c>
      <c r="D10" s="68">
        <v>6</v>
      </c>
      <c r="E10" s="22">
        <f t="shared" si="1"/>
        <v>0.28503562945368172</v>
      </c>
      <c r="F10" s="68">
        <v>2</v>
      </c>
      <c r="G10" s="22">
        <f t="shared" si="2"/>
        <v>9.6339113680154145E-2</v>
      </c>
      <c r="H10" s="68" t="s">
        <v>9</v>
      </c>
      <c r="I10" s="69" t="str">
        <f t="shared" si="3"/>
        <v>-</v>
      </c>
      <c r="J10" s="68">
        <v>3</v>
      </c>
      <c r="K10" s="22">
        <f t="shared" si="4"/>
        <v>0.3592814371257485</v>
      </c>
    </row>
    <row r="11" spans="1:12" ht="18" customHeight="1">
      <c r="A11" s="27" t="s">
        <v>192</v>
      </c>
      <c r="B11" s="68">
        <v>7</v>
      </c>
      <c r="C11" s="22">
        <f t="shared" si="0"/>
        <v>0.21199273167777105</v>
      </c>
      <c r="D11" s="68">
        <v>8</v>
      </c>
      <c r="E11" s="22">
        <f t="shared" si="1"/>
        <v>0.38004750593824227</v>
      </c>
      <c r="F11" s="68">
        <v>4</v>
      </c>
      <c r="G11" s="22">
        <f t="shared" si="2"/>
        <v>0.19267822736030829</v>
      </c>
      <c r="H11" s="68">
        <v>5</v>
      </c>
      <c r="I11" s="22">
        <f t="shared" si="3"/>
        <v>0.36075036075036077</v>
      </c>
      <c r="J11" s="68">
        <v>6</v>
      </c>
      <c r="K11" s="22">
        <f t="shared" si="4"/>
        <v>0.71856287425149701</v>
      </c>
    </row>
    <row r="12" spans="1:12" ht="18" customHeight="1" thickBot="1">
      <c r="A12" s="40" t="s">
        <v>193</v>
      </c>
      <c r="B12" s="70" t="s">
        <v>9</v>
      </c>
      <c r="C12" s="71" t="str">
        <f t="shared" si="0"/>
        <v>-</v>
      </c>
      <c r="D12" s="70" t="s">
        <v>9</v>
      </c>
      <c r="E12" s="71" t="str">
        <f t="shared" si="1"/>
        <v>-</v>
      </c>
      <c r="F12" s="70" t="s">
        <v>9</v>
      </c>
      <c r="G12" s="71" t="str">
        <f t="shared" si="2"/>
        <v>-</v>
      </c>
      <c r="H12" s="70" t="s">
        <v>9</v>
      </c>
      <c r="I12" s="71" t="str">
        <f t="shared" si="3"/>
        <v>-</v>
      </c>
      <c r="J12" s="70" t="s">
        <v>9</v>
      </c>
      <c r="K12" s="71" t="str">
        <f t="shared" si="4"/>
        <v>-</v>
      </c>
    </row>
    <row r="13" spans="1:12" ht="20.100000000000001" customHeight="1">
      <c r="A13" s="65"/>
      <c r="B13" s="462" t="s">
        <v>115</v>
      </c>
      <c r="C13" s="450"/>
      <c r="D13" s="462" t="s">
        <v>116</v>
      </c>
      <c r="E13" s="450"/>
      <c r="F13" s="462" t="s">
        <v>117</v>
      </c>
      <c r="G13" s="450"/>
      <c r="H13" s="462" t="s">
        <v>118</v>
      </c>
      <c r="I13" s="450"/>
      <c r="J13" s="462" t="s">
        <v>119</v>
      </c>
      <c r="K13" s="450"/>
    </row>
    <row r="14" spans="1:12" ht="20.100000000000001" customHeight="1">
      <c r="A14" s="65"/>
      <c r="B14" s="10" t="s">
        <v>105</v>
      </c>
      <c r="C14" s="10" t="s">
        <v>106</v>
      </c>
      <c r="D14" s="10" t="s">
        <v>105</v>
      </c>
      <c r="E14" s="10" t="s">
        <v>106</v>
      </c>
      <c r="F14" s="10" t="s">
        <v>105</v>
      </c>
      <c r="G14" s="10" t="s">
        <v>106</v>
      </c>
      <c r="H14" s="10" t="s">
        <v>105</v>
      </c>
      <c r="I14" s="10" t="s">
        <v>106</v>
      </c>
      <c r="J14" s="10" t="s">
        <v>105</v>
      </c>
      <c r="K14" s="10" t="s">
        <v>106</v>
      </c>
    </row>
    <row r="15" spans="1:12" ht="18" customHeight="1">
      <c r="A15" s="27" t="s">
        <v>107</v>
      </c>
      <c r="B15" s="66">
        <v>675</v>
      </c>
      <c r="C15" s="67">
        <f>SUM(C16:C23)</f>
        <v>100.00000000000001</v>
      </c>
      <c r="D15" s="66">
        <v>638</v>
      </c>
      <c r="E15" s="67">
        <f t="shared" ref="E15:K15" si="5">SUM(E16:E23)</f>
        <v>100.00000000000001</v>
      </c>
      <c r="F15" s="66">
        <f t="shared" si="5"/>
        <v>544</v>
      </c>
      <c r="G15" s="67">
        <f t="shared" si="5"/>
        <v>100.00000000000003</v>
      </c>
      <c r="H15" s="66">
        <f t="shared" si="5"/>
        <v>387</v>
      </c>
      <c r="I15" s="67">
        <f t="shared" si="5"/>
        <v>99.999999999999986</v>
      </c>
      <c r="J15" s="68">
        <f t="shared" si="5"/>
        <v>349</v>
      </c>
      <c r="K15" s="76">
        <f t="shared" si="5"/>
        <v>99.999999999999986</v>
      </c>
    </row>
    <row r="16" spans="1:12" ht="18" customHeight="1">
      <c r="A16" s="27" t="s">
        <v>186</v>
      </c>
      <c r="B16" s="68">
        <v>340</v>
      </c>
      <c r="C16" s="22">
        <f t="shared" ref="C16:C22" si="6">IFERROR(B16/B$15*100,"-")</f>
        <v>50.370370370370367</v>
      </c>
      <c r="D16" s="68">
        <v>351</v>
      </c>
      <c r="E16" s="22">
        <f t="shared" ref="E16:E22" si="7">IFERROR(D16/D$15*100,"-")</f>
        <v>55.015673981191227</v>
      </c>
      <c r="F16" s="68">
        <v>332</v>
      </c>
      <c r="G16" s="22">
        <f t="shared" ref="G16:G22" si="8">IFERROR(F16/F$15*100,"-")</f>
        <v>61.029411764705884</v>
      </c>
      <c r="H16" s="68">
        <v>237</v>
      </c>
      <c r="I16" s="22">
        <f t="shared" ref="I16:I22" si="9">IFERROR(H16/H$15*100,"-")</f>
        <v>61.240310077519375</v>
      </c>
      <c r="J16" s="43">
        <v>220</v>
      </c>
      <c r="K16" s="44">
        <f t="shared" ref="K16:K22" si="10">IFERROR(J16/J$15*100,"-")</f>
        <v>63.03724928366762</v>
      </c>
    </row>
    <row r="17" spans="1:11" ht="18" customHeight="1">
      <c r="A17" s="27" t="s">
        <v>187</v>
      </c>
      <c r="B17" s="68">
        <v>234</v>
      </c>
      <c r="C17" s="22">
        <f t="shared" si="6"/>
        <v>34.666666666666671</v>
      </c>
      <c r="D17" s="68">
        <v>204</v>
      </c>
      <c r="E17" s="22">
        <f t="shared" si="7"/>
        <v>31.974921630094045</v>
      </c>
      <c r="F17" s="68">
        <v>155</v>
      </c>
      <c r="G17" s="22">
        <f t="shared" si="8"/>
        <v>28.492647058823529</v>
      </c>
      <c r="H17" s="68">
        <v>108</v>
      </c>
      <c r="I17" s="22">
        <f t="shared" si="9"/>
        <v>27.906976744186046</v>
      </c>
      <c r="J17" s="43">
        <v>94</v>
      </c>
      <c r="K17" s="44">
        <f t="shared" si="10"/>
        <v>26.93409742120344</v>
      </c>
    </row>
    <row r="18" spans="1:11" ht="18" customHeight="1">
      <c r="A18" s="27" t="s">
        <v>188</v>
      </c>
      <c r="B18" s="68">
        <v>87</v>
      </c>
      <c r="C18" s="22">
        <f t="shared" si="6"/>
        <v>12.888888888888889</v>
      </c>
      <c r="D18" s="68">
        <v>76</v>
      </c>
      <c r="E18" s="22">
        <f t="shared" si="7"/>
        <v>11.912225705329153</v>
      </c>
      <c r="F18" s="68">
        <v>48</v>
      </c>
      <c r="G18" s="22">
        <f t="shared" si="8"/>
        <v>8.8235294117647065</v>
      </c>
      <c r="H18" s="68">
        <v>38</v>
      </c>
      <c r="I18" s="22">
        <f t="shared" si="9"/>
        <v>9.819121447028424</v>
      </c>
      <c r="J18" s="43">
        <v>31</v>
      </c>
      <c r="K18" s="44">
        <f t="shared" si="10"/>
        <v>8.8825214899713476</v>
      </c>
    </row>
    <row r="19" spans="1:11" ht="18" customHeight="1">
      <c r="A19" s="27" t="s">
        <v>189</v>
      </c>
      <c r="B19" s="68">
        <v>4</v>
      </c>
      <c r="C19" s="22">
        <f t="shared" si="6"/>
        <v>0.59259259259259256</v>
      </c>
      <c r="D19" s="68">
        <v>1</v>
      </c>
      <c r="E19" s="22">
        <f t="shared" si="7"/>
        <v>0.15673981191222569</v>
      </c>
      <c r="F19" s="68">
        <v>2</v>
      </c>
      <c r="G19" s="22">
        <f t="shared" si="8"/>
        <v>0.36764705882352938</v>
      </c>
      <c r="H19" s="68">
        <v>3</v>
      </c>
      <c r="I19" s="22">
        <f t="shared" si="9"/>
        <v>0.77519379844961245</v>
      </c>
      <c r="J19" s="43">
        <v>2</v>
      </c>
      <c r="K19" s="44">
        <f t="shared" si="10"/>
        <v>0.57306590257879653</v>
      </c>
    </row>
    <row r="20" spans="1:11" ht="18" customHeight="1">
      <c r="A20" s="27" t="s">
        <v>191</v>
      </c>
      <c r="B20" s="68">
        <v>5</v>
      </c>
      <c r="C20" s="22">
        <f t="shared" si="6"/>
        <v>0.74074074074074081</v>
      </c>
      <c r="D20" s="68">
        <v>2</v>
      </c>
      <c r="E20" s="22">
        <f t="shared" si="7"/>
        <v>0.31347962382445138</v>
      </c>
      <c r="F20" s="68">
        <v>2</v>
      </c>
      <c r="G20" s="22">
        <f t="shared" si="8"/>
        <v>0.36764705882352938</v>
      </c>
      <c r="H20" s="68" t="s">
        <v>77</v>
      </c>
      <c r="I20" s="69" t="str">
        <f t="shared" si="9"/>
        <v>-</v>
      </c>
      <c r="J20" s="43">
        <v>2</v>
      </c>
      <c r="K20" s="44">
        <f t="shared" si="10"/>
        <v>0.57306590257879653</v>
      </c>
    </row>
    <row r="21" spans="1:11" ht="18" customHeight="1">
      <c r="A21" s="27" t="s">
        <v>190</v>
      </c>
      <c r="B21" s="68">
        <v>1</v>
      </c>
      <c r="C21" s="22">
        <f t="shared" si="6"/>
        <v>0.14814814814814814</v>
      </c>
      <c r="D21" s="68">
        <v>1</v>
      </c>
      <c r="E21" s="22">
        <f t="shared" si="7"/>
        <v>0.15673981191222569</v>
      </c>
      <c r="F21" s="68">
        <v>4</v>
      </c>
      <c r="G21" s="22">
        <f t="shared" si="8"/>
        <v>0.73529411764705876</v>
      </c>
      <c r="H21" s="68">
        <v>1</v>
      </c>
      <c r="I21" s="22">
        <f t="shared" si="9"/>
        <v>0.2583979328165375</v>
      </c>
      <c r="J21" s="56">
        <v>0</v>
      </c>
      <c r="K21" s="56">
        <f t="shared" si="10"/>
        <v>0</v>
      </c>
    </row>
    <row r="22" spans="1:11" ht="18" customHeight="1">
      <c r="A22" s="27" t="s">
        <v>192</v>
      </c>
      <c r="B22" s="68">
        <v>4</v>
      </c>
      <c r="C22" s="22">
        <f t="shared" si="6"/>
        <v>0.59259259259259256</v>
      </c>
      <c r="D22" s="68">
        <v>2</v>
      </c>
      <c r="E22" s="22">
        <f t="shared" si="7"/>
        <v>0.31347962382445138</v>
      </c>
      <c r="F22" s="68">
        <v>1</v>
      </c>
      <c r="G22" s="22">
        <f t="shared" si="8"/>
        <v>0.18382352941176469</v>
      </c>
      <c r="H22" s="68" t="s">
        <v>9</v>
      </c>
      <c r="I22" s="69" t="str">
        <f t="shared" si="9"/>
        <v>-</v>
      </c>
      <c r="J22" s="45" t="s">
        <v>280</v>
      </c>
      <c r="K22" s="46" t="str">
        <f t="shared" si="10"/>
        <v>-</v>
      </c>
    </row>
    <row r="23" spans="1:11" ht="18" customHeight="1">
      <c r="A23" s="38" t="s">
        <v>193</v>
      </c>
      <c r="B23" s="72" t="s">
        <v>9</v>
      </c>
      <c r="C23" s="73" t="str">
        <f t="shared" ref="C23" si="11">IFERROR(B23/B$15*100,"-")</f>
        <v>-</v>
      </c>
      <c r="D23" s="72">
        <v>1</v>
      </c>
      <c r="E23" s="26">
        <f t="shared" ref="E23" si="12">IFERROR(D23/D$15*100,"-")</f>
        <v>0.15673981191222569</v>
      </c>
      <c r="F23" s="72" t="s">
        <v>9</v>
      </c>
      <c r="G23" s="73" t="str">
        <f t="shared" ref="G23" si="13">IFERROR(F23/F$15*100,"-")</f>
        <v>-</v>
      </c>
      <c r="H23" s="72" t="s">
        <v>9</v>
      </c>
      <c r="I23" s="73" t="str">
        <f t="shared" ref="I23" si="14">IFERROR(H23/H$15*100,"-")</f>
        <v>-</v>
      </c>
      <c r="J23" s="56">
        <v>0</v>
      </c>
      <c r="K23" s="57">
        <f t="shared" ref="K23" si="15">IFERROR(J23/J$15*100,"-")</f>
        <v>0</v>
      </c>
    </row>
    <row r="24" spans="1:11">
      <c r="A24" s="417" t="s">
        <v>194</v>
      </c>
      <c r="B24" s="417"/>
      <c r="C24" s="417"/>
      <c r="D24" s="74"/>
      <c r="E24" s="74"/>
      <c r="F24" s="74"/>
      <c r="G24" s="74"/>
      <c r="H24" s="75"/>
      <c r="I24" s="34"/>
      <c r="J24" s="66"/>
      <c r="K24" s="41"/>
    </row>
    <row r="25" spans="1:11" ht="42" customHeight="1">
      <c r="A25" s="446" t="s">
        <v>195</v>
      </c>
      <c r="B25" s="446"/>
      <c r="C25" s="446"/>
      <c r="D25" s="446"/>
      <c r="E25" s="446"/>
      <c r="F25" s="446"/>
      <c r="G25" s="446"/>
      <c r="H25" s="446"/>
      <c r="I25" s="446"/>
      <c r="J25" s="446"/>
      <c r="K25" s="446"/>
    </row>
  </sheetData>
  <sortState ref="A16:K22">
    <sortCondition descending="1" ref="J16:J22"/>
  </sortState>
  <mergeCells count="13">
    <mergeCell ref="A25:K25"/>
    <mergeCell ref="B13:C13"/>
    <mergeCell ref="D13:E13"/>
    <mergeCell ref="F13:G13"/>
    <mergeCell ref="H13:I13"/>
    <mergeCell ref="J13:K13"/>
    <mergeCell ref="A24:C24"/>
    <mergeCell ref="A1:K1"/>
    <mergeCell ref="B2:C2"/>
    <mergeCell ref="D2:E2"/>
    <mergeCell ref="F2:G2"/>
    <mergeCell ref="H2:I2"/>
    <mergeCell ref="J2:K2"/>
  </mergeCells>
  <phoneticPr fontId="2" type="noConversion"/>
  <hyperlinks>
    <hyperlink ref="L1" location="本篇表次!A1" display="回本篇表次"/>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V20"/>
  <sheetViews>
    <sheetView showGridLines="0" workbookViewId="0">
      <pane xSplit="1" topLeftCell="B1" activePane="topRight" state="frozen"/>
      <selection sqref="A1:U1"/>
      <selection pane="topRight" sqref="A1:U1"/>
    </sheetView>
  </sheetViews>
  <sheetFormatPr defaultColWidth="7.625" defaultRowHeight="16.5"/>
  <cols>
    <col min="1" max="1" width="15.625" style="283" customWidth="1"/>
    <col min="2" max="21" width="7.625" style="283"/>
    <col min="22" max="22" width="12.625" style="283" bestFit="1" customWidth="1"/>
    <col min="23" max="16384" width="7.625" style="283"/>
  </cols>
  <sheetData>
    <row r="1" spans="1:22" ht="29.1" customHeight="1">
      <c r="A1" s="505" t="s">
        <v>659</v>
      </c>
      <c r="B1" s="505"/>
      <c r="C1" s="505"/>
      <c r="D1" s="505"/>
      <c r="E1" s="505"/>
      <c r="F1" s="505"/>
      <c r="G1" s="505"/>
      <c r="H1" s="505"/>
      <c r="I1" s="505"/>
      <c r="J1" s="505"/>
      <c r="K1" s="505"/>
      <c r="L1" s="505"/>
      <c r="M1" s="505"/>
      <c r="N1" s="505"/>
      <c r="O1" s="505"/>
      <c r="P1" s="505"/>
      <c r="Q1" s="505"/>
      <c r="R1" s="505"/>
      <c r="S1" s="505"/>
      <c r="T1" s="505"/>
      <c r="U1" s="505"/>
      <c r="V1" s="348" t="s">
        <v>644</v>
      </c>
    </row>
    <row r="2" spans="1:22" ht="20.100000000000001" customHeight="1">
      <c r="A2" s="474"/>
      <c r="B2" s="459" t="s">
        <v>100</v>
      </c>
      <c r="C2" s="459"/>
      <c r="D2" s="459"/>
      <c r="E2" s="459"/>
      <c r="F2" s="459" t="s">
        <v>101</v>
      </c>
      <c r="G2" s="459"/>
      <c r="H2" s="459"/>
      <c r="I2" s="459"/>
      <c r="J2" s="459" t="s">
        <v>102</v>
      </c>
      <c r="K2" s="459"/>
      <c r="L2" s="459"/>
      <c r="M2" s="459"/>
      <c r="N2" s="459" t="s">
        <v>103</v>
      </c>
      <c r="O2" s="459"/>
      <c r="P2" s="459"/>
      <c r="Q2" s="459"/>
      <c r="R2" s="459" t="s">
        <v>104</v>
      </c>
      <c r="S2" s="459"/>
      <c r="T2" s="459"/>
      <c r="U2" s="459"/>
    </row>
    <row r="3" spans="1:22" ht="20.100000000000001" customHeight="1">
      <c r="A3" s="475"/>
      <c r="B3" s="476" t="s">
        <v>196</v>
      </c>
      <c r="C3" s="476"/>
      <c r="D3" s="476"/>
      <c r="E3" s="474" t="s">
        <v>197</v>
      </c>
      <c r="F3" s="476" t="s">
        <v>196</v>
      </c>
      <c r="G3" s="476"/>
      <c r="H3" s="476"/>
      <c r="I3" s="474" t="s">
        <v>197</v>
      </c>
      <c r="J3" s="476" t="s">
        <v>196</v>
      </c>
      <c r="K3" s="476"/>
      <c r="L3" s="476"/>
      <c r="M3" s="474" t="s">
        <v>197</v>
      </c>
      <c r="N3" s="476" t="s">
        <v>196</v>
      </c>
      <c r="O3" s="476"/>
      <c r="P3" s="476"/>
      <c r="Q3" s="474" t="s">
        <v>197</v>
      </c>
      <c r="R3" s="476" t="s">
        <v>196</v>
      </c>
      <c r="S3" s="476"/>
      <c r="T3" s="476"/>
      <c r="U3" s="474" t="s">
        <v>197</v>
      </c>
    </row>
    <row r="4" spans="1:22" ht="20.100000000000001" customHeight="1">
      <c r="A4" s="475"/>
      <c r="B4" s="284" t="s">
        <v>107</v>
      </c>
      <c r="C4" s="305" t="s">
        <v>98</v>
      </c>
      <c r="D4" s="305" t="s">
        <v>99</v>
      </c>
      <c r="E4" s="477"/>
      <c r="F4" s="284" t="s">
        <v>107</v>
      </c>
      <c r="G4" s="305" t="s">
        <v>98</v>
      </c>
      <c r="H4" s="305" t="s">
        <v>99</v>
      </c>
      <c r="I4" s="477"/>
      <c r="J4" s="284" t="s">
        <v>107</v>
      </c>
      <c r="K4" s="305" t="s">
        <v>98</v>
      </c>
      <c r="L4" s="305" t="s">
        <v>99</v>
      </c>
      <c r="M4" s="477"/>
      <c r="N4" s="284" t="s">
        <v>107</v>
      </c>
      <c r="O4" s="305" t="s">
        <v>98</v>
      </c>
      <c r="P4" s="305" t="s">
        <v>99</v>
      </c>
      <c r="Q4" s="477"/>
      <c r="R4" s="284" t="s">
        <v>107</v>
      </c>
      <c r="S4" s="305" t="s">
        <v>98</v>
      </c>
      <c r="T4" s="305" t="s">
        <v>99</v>
      </c>
      <c r="U4" s="477"/>
    </row>
    <row r="5" spans="1:22" ht="20.100000000000001" customHeight="1">
      <c r="A5" s="286" t="s">
        <v>107</v>
      </c>
      <c r="B5" s="289">
        <f t="shared" ref="B5" si="0">SUM(C5,D5)</f>
        <v>3302</v>
      </c>
      <c r="C5" s="287">
        <f>SUM(C6:C10)</f>
        <v>2550</v>
      </c>
      <c r="D5" s="287">
        <f>SUM(D6:D10)</f>
        <v>752</v>
      </c>
      <c r="E5" s="288">
        <f>SUM(E6:E10)</f>
        <v>99.999999999999986</v>
      </c>
      <c r="F5" s="289">
        <f t="shared" ref="F5" si="1">SUM(G5,H5)</f>
        <v>2105</v>
      </c>
      <c r="G5" s="287">
        <f>SUM(G6:G10)</f>
        <v>1547</v>
      </c>
      <c r="H5" s="287">
        <f>SUM(H6:H10)</f>
        <v>558</v>
      </c>
      <c r="I5" s="288">
        <f>SUM(I6:I10)</f>
        <v>100.00000000000001</v>
      </c>
      <c r="J5" s="289">
        <f t="shared" ref="J5" si="2">SUM(K5,L5)</f>
        <v>2076</v>
      </c>
      <c r="K5" s="287">
        <f>SUM(K6:K10)</f>
        <v>1528</v>
      </c>
      <c r="L5" s="287">
        <f>SUM(L6:L10)</f>
        <v>548</v>
      </c>
      <c r="M5" s="288">
        <f>SUM(M6:M10)</f>
        <v>100</v>
      </c>
      <c r="N5" s="287">
        <f t="shared" ref="N5" si="3">SUM(O5,P5)</f>
        <v>1386</v>
      </c>
      <c r="O5" s="287">
        <f>SUM(O6:O10)</f>
        <v>1000</v>
      </c>
      <c r="P5" s="287">
        <f>SUM(P6:P10)</f>
        <v>386</v>
      </c>
      <c r="Q5" s="288">
        <f>SUM(Q6:Q10)</f>
        <v>99.999999999999986</v>
      </c>
      <c r="R5" s="287">
        <f t="shared" ref="R5" si="4">SUM(S5,T5)</f>
        <v>835</v>
      </c>
      <c r="S5" s="287">
        <f>SUM(S6:S10)</f>
        <v>596</v>
      </c>
      <c r="T5" s="287">
        <f>SUM(T6:T10)</f>
        <v>239</v>
      </c>
      <c r="U5" s="288">
        <f>SUM(U6:U10)</f>
        <v>100.00000000000001</v>
      </c>
    </row>
    <row r="6" spans="1:22" ht="20.100000000000001" customHeight="1">
      <c r="A6" s="286" t="s">
        <v>198</v>
      </c>
      <c r="B6" s="287">
        <f>SUM(C6,D6)</f>
        <v>1312</v>
      </c>
      <c r="C6" s="287">
        <v>975</v>
      </c>
      <c r="D6" s="287">
        <v>337</v>
      </c>
      <c r="E6" s="288">
        <f>IFERROR(B6/B$5*100,"-")</f>
        <v>39.733494851605087</v>
      </c>
      <c r="F6" s="287">
        <f>SUM(G6,H6)</f>
        <v>786</v>
      </c>
      <c r="G6" s="287">
        <v>523</v>
      </c>
      <c r="H6" s="287">
        <v>263</v>
      </c>
      <c r="I6" s="288">
        <f>IFERROR(F6/F$5*100,"-")</f>
        <v>37.339667458432302</v>
      </c>
      <c r="J6" s="287">
        <f>SUM(K6,L6)</f>
        <v>741</v>
      </c>
      <c r="K6" s="287">
        <v>503</v>
      </c>
      <c r="L6" s="287">
        <v>238</v>
      </c>
      <c r="M6" s="288">
        <f>IFERROR(J6/J$5*100,"-")</f>
        <v>35.693641618497111</v>
      </c>
      <c r="N6" s="287">
        <f>SUM(O6,P6)</f>
        <v>452</v>
      </c>
      <c r="O6" s="287">
        <v>293</v>
      </c>
      <c r="P6" s="287">
        <v>159</v>
      </c>
      <c r="Q6" s="288">
        <f>IFERROR(N6/N$5*100,"-")</f>
        <v>32.611832611832611</v>
      </c>
      <c r="R6" s="287">
        <f>SUM(S6,T6)</f>
        <v>285</v>
      </c>
      <c r="S6" s="287">
        <v>183</v>
      </c>
      <c r="T6" s="287">
        <v>102</v>
      </c>
      <c r="U6" s="288">
        <f>IFERROR(R6/R$5*100,"-")</f>
        <v>34.131736526946113</v>
      </c>
    </row>
    <row r="7" spans="1:22" ht="20.100000000000001" customHeight="1">
      <c r="A7" s="286" t="s">
        <v>200</v>
      </c>
      <c r="B7" s="287">
        <f>SUM(C7,D7)</f>
        <v>734</v>
      </c>
      <c r="C7" s="287">
        <v>622</v>
      </c>
      <c r="D7" s="287">
        <v>112</v>
      </c>
      <c r="E7" s="288">
        <f>IFERROR(B7/B$5*100,"-")</f>
        <v>22.228952150211992</v>
      </c>
      <c r="F7" s="287">
        <f>SUM(G7,H7)</f>
        <v>499</v>
      </c>
      <c r="G7" s="287">
        <v>431</v>
      </c>
      <c r="H7" s="287">
        <v>68</v>
      </c>
      <c r="I7" s="288">
        <f>IFERROR(F7/F$5*100,"-")</f>
        <v>23.705463182897862</v>
      </c>
      <c r="J7" s="287">
        <f>SUM(K7,L7)</f>
        <v>527</v>
      </c>
      <c r="K7" s="287">
        <v>447</v>
      </c>
      <c r="L7" s="287">
        <v>80</v>
      </c>
      <c r="M7" s="288">
        <f>IFERROR(J7/J$5*100,"-")</f>
        <v>25.385356454720615</v>
      </c>
      <c r="N7" s="287">
        <f>SUM(O7,P7)</f>
        <v>361</v>
      </c>
      <c r="O7" s="287">
        <v>302</v>
      </c>
      <c r="P7" s="287">
        <v>59</v>
      </c>
      <c r="Q7" s="288">
        <f>IFERROR(N7/N$5*100,"-")</f>
        <v>26.046176046176043</v>
      </c>
      <c r="R7" s="287">
        <f>SUM(S7,T7)</f>
        <v>192</v>
      </c>
      <c r="S7" s="287">
        <v>159</v>
      </c>
      <c r="T7" s="287">
        <v>33</v>
      </c>
      <c r="U7" s="288">
        <f>IFERROR(R7/R$5*100,"-")</f>
        <v>22.994011976047904</v>
      </c>
    </row>
    <row r="8" spans="1:22" ht="20.100000000000001" customHeight="1">
      <c r="A8" s="286" t="s">
        <v>199</v>
      </c>
      <c r="B8" s="287">
        <f>SUM(C8,D8)</f>
        <v>783</v>
      </c>
      <c r="C8" s="287">
        <v>585</v>
      </c>
      <c r="D8" s="287">
        <v>198</v>
      </c>
      <c r="E8" s="288">
        <f>IFERROR(B8/B$5*100,"-")</f>
        <v>23.71290127195639</v>
      </c>
      <c r="F8" s="287">
        <f>SUM(G8,H8)</f>
        <v>496</v>
      </c>
      <c r="G8" s="287">
        <v>339</v>
      </c>
      <c r="H8" s="287">
        <v>157</v>
      </c>
      <c r="I8" s="288">
        <f>IFERROR(F8/F$5*100,"-")</f>
        <v>23.562945368171022</v>
      </c>
      <c r="J8" s="287">
        <f>SUM(K8,L8)</f>
        <v>494</v>
      </c>
      <c r="K8" s="287">
        <v>332</v>
      </c>
      <c r="L8" s="287">
        <v>162</v>
      </c>
      <c r="M8" s="288">
        <f>IFERROR(J8/J$5*100,"-")</f>
        <v>23.795761078998073</v>
      </c>
      <c r="N8" s="287">
        <f>SUM(O8,P8)</f>
        <v>412</v>
      </c>
      <c r="O8" s="287">
        <v>286</v>
      </c>
      <c r="P8" s="287">
        <v>126</v>
      </c>
      <c r="Q8" s="288">
        <f>IFERROR(N8/N$5*100,"-")</f>
        <v>29.725829725829726</v>
      </c>
      <c r="R8" s="287">
        <f>SUM(S8,T8)</f>
        <v>262</v>
      </c>
      <c r="S8" s="287">
        <v>182</v>
      </c>
      <c r="T8" s="287">
        <v>80</v>
      </c>
      <c r="U8" s="288">
        <f>IFERROR(R8/R$5*100,"-")</f>
        <v>31.377245508982039</v>
      </c>
    </row>
    <row r="9" spans="1:22" ht="20.100000000000001" customHeight="1">
      <c r="A9" s="286" t="s">
        <v>201</v>
      </c>
      <c r="B9" s="287">
        <f>SUM(C9,D9)</f>
        <v>302</v>
      </c>
      <c r="C9" s="287">
        <v>228</v>
      </c>
      <c r="D9" s="287">
        <v>74</v>
      </c>
      <c r="E9" s="288">
        <f>IFERROR(B9/B$5*100,"-")</f>
        <v>9.1459721380981218</v>
      </c>
      <c r="F9" s="287">
        <f>SUM(G9,H9)</f>
        <v>183</v>
      </c>
      <c r="G9" s="287">
        <v>135</v>
      </c>
      <c r="H9" s="287">
        <v>48</v>
      </c>
      <c r="I9" s="288">
        <f>IFERROR(F9/F$5*100,"-")</f>
        <v>8.6935866983372918</v>
      </c>
      <c r="J9" s="287">
        <f>SUM(K9,L9)</f>
        <v>159</v>
      </c>
      <c r="K9" s="287">
        <v>119</v>
      </c>
      <c r="L9" s="287">
        <v>40</v>
      </c>
      <c r="M9" s="288">
        <f>IFERROR(J9/J$5*100,"-")</f>
        <v>7.6589595375722546</v>
      </c>
      <c r="N9" s="287">
        <f>SUM(O9,P9)</f>
        <v>90</v>
      </c>
      <c r="O9" s="287">
        <v>66</v>
      </c>
      <c r="P9" s="287">
        <v>24</v>
      </c>
      <c r="Q9" s="288">
        <f>IFERROR(N9/N$5*100,"-")</f>
        <v>6.4935064935064926</v>
      </c>
      <c r="R9" s="287">
        <f>SUM(S9,T9)</f>
        <v>51</v>
      </c>
      <c r="S9" s="287">
        <v>38</v>
      </c>
      <c r="T9" s="287">
        <v>13</v>
      </c>
      <c r="U9" s="288">
        <f>IFERROR(R9/R$5*100,"-")</f>
        <v>6.1077844311377243</v>
      </c>
    </row>
    <row r="10" spans="1:22" ht="20.100000000000001" customHeight="1" thickBot="1">
      <c r="A10" s="293" t="s">
        <v>202</v>
      </c>
      <c r="B10" s="294">
        <f>SUM(C10,D10)</f>
        <v>171</v>
      </c>
      <c r="C10" s="294">
        <v>140</v>
      </c>
      <c r="D10" s="294">
        <v>31</v>
      </c>
      <c r="E10" s="295">
        <f>IFERROR(B10/B$5*100,"-")</f>
        <v>5.1786795881284071</v>
      </c>
      <c r="F10" s="294">
        <f>SUM(G10,H10)</f>
        <v>141</v>
      </c>
      <c r="G10" s="294">
        <v>119</v>
      </c>
      <c r="H10" s="294">
        <v>22</v>
      </c>
      <c r="I10" s="295">
        <f>IFERROR(F10/F$5*100,"-")</f>
        <v>6.6983372921615203</v>
      </c>
      <c r="J10" s="294">
        <f>SUM(K10,L10)</f>
        <v>155</v>
      </c>
      <c r="K10" s="294">
        <v>127</v>
      </c>
      <c r="L10" s="294">
        <v>28</v>
      </c>
      <c r="M10" s="295">
        <f>IFERROR(J10/J$5*100,"-")</f>
        <v>7.4662813102119463</v>
      </c>
      <c r="N10" s="294">
        <f>SUM(O10,P10)</f>
        <v>71</v>
      </c>
      <c r="O10" s="294">
        <v>53</v>
      </c>
      <c r="P10" s="294">
        <v>18</v>
      </c>
      <c r="Q10" s="295">
        <f>IFERROR(N10/N$5*100,"-")</f>
        <v>5.1226551226551225</v>
      </c>
      <c r="R10" s="299">
        <f>SUM(S10,T10)</f>
        <v>45</v>
      </c>
      <c r="S10" s="299">
        <v>34</v>
      </c>
      <c r="T10" s="299">
        <v>11</v>
      </c>
      <c r="U10" s="301">
        <f>IFERROR(R10/R$5*100,"-")</f>
        <v>5.3892215568862278</v>
      </c>
    </row>
    <row r="11" spans="1:22" ht="20.100000000000001" customHeight="1">
      <c r="A11" s="482"/>
      <c r="B11" s="495" t="s">
        <v>115</v>
      </c>
      <c r="C11" s="495"/>
      <c r="D11" s="495"/>
      <c r="E11" s="495"/>
      <c r="F11" s="495" t="s">
        <v>116</v>
      </c>
      <c r="G11" s="495"/>
      <c r="H11" s="495"/>
      <c r="I11" s="495"/>
      <c r="J11" s="495" t="s">
        <v>117</v>
      </c>
      <c r="K11" s="495"/>
      <c r="L11" s="495"/>
      <c r="M11" s="495"/>
      <c r="N11" s="495" t="s">
        <v>118</v>
      </c>
      <c r="O11" s="495"/>
      <c r="P11" s="495"/>
      <c r="Q11" s="495"/>
      <c r="R11" s="495" t="s">
        <v>119</v>
      </c>
      <c r="S11" s="495"/>
      <c r="T11" s="495"/>
      <c r="U11" s="495"/>
    </row>
    <row r="12" spans="1:22" ht="20.100000000000001" customHeight="1">
      <c r="A12" s="475"/>
      <c r="B12" s="476" t="s">
        <v>196</v>
      </c>
      <c r="C12" s="476"/>
      <c r="D12" s="476"/>
      <c r="E12" s="474" t="s">
        <v>197</v>
      </c>
      <c r="F12" s="476" t="s">
        <v>196</v>
      </c>
      <c r="G12" s="476"/>
      <c r="H12" s="476"/>
      <c r="I12" s="474" t="s">
        <v>197</v>
      </c>
      <c r="J12" s="476" t="s">
        <v>196</v>
      </c>
      <c r="K12" s="476"/>
      <c r="L12" s="476"/>
      <c r="M12" s="474" t="s">
        <v>197</v>
      </c>
      <c r="N12" s="476" t="s">
        <v>196</v>
      </c>
      <c r="O12" s="476"/>
      <c r="P12" s="476"/>
      <c r="Q12" s="474" t="s">
        <v>197</v>
      </c>
      <c r="R12" s="476" t="s">
        <v>196</v>
      </c>
      <c r="S12" s="476"/>
      <c r="T12" s="476"/>
      <c r="U12" s="474" t="s">
        <v>197</v>
      </c>
    </row>
    <row r="13" spans="1:22" ht="20.100000000000001" customHeight="1">
      <c r="A13" s="475"/>
      <c r="B13" s="284" t="s">
        <v>107</v>
      </c>
      <c r="C13" s="305" t="s">
        <v>98</v>
      </c>
      <c r="D13" s="305" t="s">
        <v>99</v>
      </c>
      <c r="E13" s="477"/>
      <c r="F13" s="284" t="s">
        <v>107</v>
      </c>
      <c r="G13" s="305" t="s">
        <v>98</v>
      </c>
      <c r="H13" s="305" t="s">
        <v>99</v>
      </c>
      <c r="I13" s="477"/>
      <c r="J13" s="284" t="s">
        <v>107</v>
      </c>
      <c r="K13" s="305" t="s">
        <v>98</v>
      </c>
      <c r="L13" s="305" t="s">
        <v>99</v>
      </c>
      <c r="M13" s="477"/>
      <c r="N13" s="284" t="s">
        <v>107</v>
      </c>
      <c r="O13" s="305" t="s">
        <v>98</v>
      </c>
      <c r="P13" s="305" t="s">
        <v>99</v>
      </c>
      <c r="Q13" s="477"/>
      <c r="R13" s="284" t="s">
        <v>107</v>
      </c>
      <c r="S13" s="305" t="s">
        <v>98</v>
      </c>
      <c r="T13" s="305" t="s">
        <v>99</v>
      </c>
      <c r="U13" s="477"/>
    </row>
    <row r="14" spans="1:22" ht="20.100000000000001" customHeight="1">
      <c r="A14" s="286" t="s">
        <v>107</v>
      </c>
      <c r="B14" s="287">
        <f t="shared" ref="B14" si="5">SUM(C14,D14)</f>
        <v>675</v>
      </c>
      <c r="C14" s="287">
        <f>SUM(C15:C19)</f>
        <v>468</v>
      </c>
      <c r="D14" s="287">
        <f>SUM(D15:D19)</f>
        <v>207</v>
      </c>
      <c r="E14" s="288">
        <f>SUM(E15:E19)</f>
        <v>100</v>
      </c>
      <c r="F14" s="289">
        <f t="shared" ref="F14" si="6">SUM(G14,H14)</f>
        <v>638</v>
      </c>
      <c r="G14" s="287">
        <f>SUM(G15:G19)</f>
        <v>502</v>
      </c>
      <c r="H14" s="287">
        <f>SUM(H15:H19)</f>
        <v>136</v>
      </c>
      <c r="I14" s="288">
        <f>SUM(I15:I19)</f>
        <v>100</v>
      </c>
      <c r="J14" s="306">
        <f>SUM(J15:J19)</f>
        <v>544</v>
      </c>
      <c r="K14" s="306">
        <f t="shared" ref="K14:L14" si="7">SUM(K15:K19)</f>
        <v>442</v>
      </c>
      <c r="L14" s="306">
        <f t="shared" si="7"/>
        <v>102</v>
      </c>
      <c r="M14" s="288">
        <f>SUM(M15:M19)</f>
        <v>100</v>
      </c>
      <c r="N14" s="306">
        <f>SUM(N15:N19)</f>
        <v>387</v>
      </c>
      <c r="O14" s="306">
        <f t="shared" ref="O14:P14" si="8">SUM(O15:O19)</f>
        <v>302</v>
      </c>
      <c r="P14" s="306">
        <f t="shared" si="8"/>
        <v>85</v>
      </c>
      <c r="Q14" s="288">
        <f>SUM(Q15:Q19)</f>
        <v>100</v>
      </c>
      <c r="R14" s="306">
        <f>SUM(R15:R19)</f>
        <v>349</v>
      </c>
      <c r="S14" s="306">
        <f t="shared" ref="S14:U14" si="9">SUM(S15:S19)</f>
        <v>295</v>
      </c>
      <c r="T14" s="306">
        <f t="shared" si="9"/>
        <v>54</v>
      </c>
      <c r="U14" s="288">
        <f t="shared" si="9"/>
        <v>100</v>
      </c>
    </row>
    <row r="15" spans="1:22" ht="20.100000000000001" customHeight="1">
      <c r="A15" s="286" t="s">
        <v>198</v>
      </c>
      <c r="B15" s="287">
        <f>SUM(C15,D15)</f>
        <v>236</v>
      </c>
      <c r="C15" s="287">
        <v>146</v>
      </c>
      <c r="D15" s="287">
        <v>90</v>
      </c>
      <c r="E15" s="288">
        <f>IFERROR(B15/B$14*100,"-")</f>
        <v>34.962962962962962</v>
      </c>
      <c r="F15" s="287">
        <f>SUM(G15,H15)</f>
        <v>209</v>
      </c>
      <c r="G15" s="287">
        <v>161</v>
      </c>
      <c r="H15" s="287">
        <v>48</v>
      </c>
      <c r="I15" s="288">
        <f>IFERROR(F15/F$14*100,"-")</f>
        <v>32.758620689655174</v>
      </c>
      <c r="J15" s="304">
        <f>SUM(K15:L15)</f>
        <v>169</v>
      </c>
      <c r="K15" s="304">
        <v>129</v>
      </c>
      <c r="L15" s="304">
        <v>40</v>
      </c>
      <c r="M15" s="288">
        <f>IFERROR(J15/J$14*100,"-")</f>
        <v>31.066176470588236</v>
      </c>
      <c r="N15" s="304">
        <f>SUM(O15:P15)</f>
        <v>143</v>
      </c>
      <c r="O15" s="304">
        <v>109</v>
      </c>
      <c r="P15" s="304">
        <v>34</v>
      </c>
      <c r="Q15" s="288">
        <f>IFERROR(N15/N$14*100,"-")</f>
        <v>36.950904392764862</v>
      </c>
      <c r="R15" s="304">
        <v>120</v>
      </c>
      <c r="S15" s="304">
        <v>101</v>
      </c>
      <c r="T15" s="304">
        <v>19</v>
      </c>
      <c r="U15" s="288">
        <f>IFERROR(R15/R$14*100,"-")</f>
        <v>34.383954154727789</v>
      </c>
    </row>
    <row r="16" spans="1:22" ht="20.100000000000001" customHeight="1">
      <c r="A16" s="286" t="s">
        <v>200</v>
      </c>
      <c r="B16" s="287">
        <f>SUM(C16,D16)</f>
        <v>174</v>
      </c>
      <c r="C16" s="287">
        <v>143</v>
      </c>
      <c r="D16" s="287">
        <v>31</v>
      </c>
      <c r="E16" s="288">
        <f>IFERROR(B16/B$14*100,"-")</f>
        <v>25.777777777777779</v>
      </c>
      <c r="F16" s="287">
        <f>SUM(G16,H16)</f>
        <v>160</v>
      </c>
      <c r="G16" s="287">
        <v>135</v>
      </c>
      <c r="H16" s="287">
        <v>25</v>
      </c>
      <c r="I16" s="288">
        <f>IFERROR(F16/F$14*100,"-")</f>
        <v>25.078369905956109</v>
      </c>
      <c r="J16" s="304">
        <f>SUM(K16:L16)</f>
        <v>140</v>
      </c>
      <c r="K16" s="304">
        <v>124</v>
      </c>
      <c r="L16" s="304">
        <v>16</v>
      </c>
      <c r="M16" s="288">
        <f>IFERROR(J16/J$14*100,"-")</f>
        <v>25.735294117647058</v>
      </c>
      <c r="N16" s="304">
        <f>SUM(O16:P16)</f>
        <v>81</v>
      </c>
      <c r="O16" s="304">
        <v>70</v>
      </c>
      <c r="P16" s="304">
        <v>11</v>
      </c>
      <c r="Q16" s="288">
        <f>IFERROR(N16/N$14*100,"-")</f>
        <v>20.930232558139537</v>
      </c>
      <c r="R16" s="304">
        <v>97</v>
      </c>
      <c r="S16" s="304">
        <v>91</v>
      </c>
      <c r="T16" s="304">
        <v>6</v>
      </c>
      <c r="U16" s="288">
        <f>IFERROR(R16/R$14*100,"-")</f>
        <v>27.793696275071632</v>
      </c>
    </row>
    <row r="17" spans="1:21" ht="20.100000000000001" customHeight="1">
      <c r="A17" s="286" t="s">
        <v>199</v>
      </c>
      <c r="B17" s="287">
        <f>SUM(C17,D17)</f>
        <v>181</v>
      </c>
      <c r="C17" s="287">
        <v>116</v>
      </c>
      <c r="D17" s="287">
        <v>65</v>
      </c>
      <c r="E17" s="288">
        <f>IFERROR(B17/B$14*100,"-")</f>
        <v>26.814814814814813</v>
      </c>
      <c r="F17" s="287">
        <f>SUM(G17,H17)</f>
        <v>179</v>
      </c>
      <c r="G17" s="287">
        <v>136</v>
      </c>
      <c r="H17" s="287">
        <v>43</v>
      </c>
      <c r="I17" s="288">
        <f>IFERROR(F17/F$14*100,"-")</f>
        <v>28.056426332288403</v>
      </c>
      <c r="J17" s="304">
        <f>SUM(K17:L17)</f>
        <v>186</v>
      </c>
      <c r="K17" s="304">
        <v>152</v>
      </c>
      <c r="L17" s="304">
        <v>34</v>
      </c>
      <c r="M17" s="288">
        <f>IFERROR(J17/J$14*100,"-")</f>
        <v>34.191176470588239</v>
      </c>
      <c r="N17" s="304">
        <f>SUM(O17:P17)</f>
        <v>110</v>
      </c>
      <c r="O17" s="304">
        <v>81</v>
      </c>
      <c r="P17" s="304">
        <v>29</v>
      </c>
      <c r="Q17" s="288">
        <f>IFERROR(N17/N$14*100,"-")</f>
        <v>28.423772609819121</v>
      </c>
      <c r="R17" s="304">
        <v>94</v>
      </c>
      <c r="S17" s="304">
        <v>75</v>
      </c>
      <c r="T17" s="304">
        <v>19</v>
      </c>
      <c r="U17" s="288">
        <f>IFERROR(R17/R$14*100,"-")</f>
        <v>26.93409742120344</v>
      </c>
    </row>
    <row r="18" spans="1:21" ht="20.100000000000001" customHeight="1">
      <c r="A18" s="286" t="s">
        <v>201</v>
      </c>
      <c r="B18" s="287">
        <f>SUM(C18,D18)</f>
        <v>51</v>
      </c>
      <c r="C18" s="287">
        <v>38</v>
      </c>
      <c r="D18" s="287">
        <v>13</v>
      </c>
      <c r="E18" s="288">
        <f>IFERROR(B18/B$14*100,"-")</f>
        <v>7.5555555555555554</v>
      </c>
      <c r="F18" s="287">
        <f>SUM(G18,H18)</f>
        <v>50</v>
      </c>
      <c r="G18" s="287">
        <v>37</v>
      </c>
      <c r="H18" s="287">
        <v>13</v>
      </c>
      <c r="I18" s="288">
        <f>IFERROR(F18/F$14*100,"-")</f>
        <v>7.8369905956112857</v>
      </c>
      <c r="J18" s="304">
        <f>SUM(K18:L18)</f>
        <v>29</v>
      </c>
      <c r="K18" s="304">
        <v>22</v>
      </c>
      <c r="L18" s="304">
        <v>7</v>
      </c>
      <c r="M18" s="288">
        <f>IFERROR(J18/J$14*100,"-")</f>
        <v>5.3308823529411766</v>
      </c>
      <c r="N18" s="304">
        <f>SUM(O18:P18)</f>
        <v>32</v>
      </c>
      <c r="O18" s="304">
        <v>24</v>
      </c>
      <c r="P18" s="304">
        <v>8</v>
      </c>
      <c r="Q18" s="288">
        <f>IFERROR(N18/N$14*100,"-")</f>
        <v>8.2687338501292</v>
      </c>
      <c r="R18" s="304">
        <v>19</v>
      </c>
      <c r="S18" s="304">
        <v>14</v>
      </c>
      <c r="T18" s="304">
        <v>5</v>
      </c>
      <c r="U18" s="288">
        <f>IFERROR(R18/R$14*100,"-")</f>
        <v>5.444126074498568</v>
      </c>
    </row>
    <row r="19" spans="1:21" ht="20.100000000000001" customHeight="1">
      <c r="A19" s="286" t="s">
        <v>202</v>
      </c>
      <c r="B19" s="299">
        <f>SUM(C19,D19)</f>
        <v>33</v>
      </c>
      <c r="C19" s="299">
        <v>25</v>
      </c>
      <c r="D19" s="299">
        <v>8</v>
      </c>
      <c r="E19" s="301">
        <f>IFERROR(B19/B$14*100,"-")</f>
        <v>4.8888888888888893</v>
      </c>
      <c r="F19" s="299">
        <f>SUM(G19,H19)</f>
        <v>40</v>
      </c>
      <c r="G19" s="299">
        <v>33</v>
      </c>
      <c r="H19" s="299">
        <v>7</v>
      </c>
      <c r="I19" s="301">
        <f>IFERROR(F19/F$14*100,"-")</f>
        <v>6.2695924764890272</v>
      </c>
      <c r="J19" s="307">
        <f>SUM(K19:L19)</f>
        <v>20</v>
      </c>
      <c r="K19" s="307">
        <v>15</v>
      </c>
      <c r="L19" s="307">
        <v>5</v>
      </c>
      <c r="M19" s="301">
        <f>IFERROR(J19/J$14*100,"-")</f>
        <v>3.6764705882352944</v>
      </c>
      <c r="N19" s="307">
        <f>SUM(O19:P19)</f>
        <v>21</v>
      </c>
      <c r="O19" s="307">
        <v>18</v>
      </c>
      <c r="P19" s="307">
        <v>3</v>
      </c>
      <c r="Q19" s="301">
        <f>IFERROR(N19/N$14*100,"-")</f>
        <v>5.4263565891472867</v>
      </c>
      <c r="R19" s="307">
        <v>19</v>
      </c>
      <c r="S19" s="307">
        <v>14</v>
      </c>
      <c r="T19" s="307">
        <v>5</v>
      </c>
      <c r="U19" s="301">
        <f>IFERROR(R19/R$14*100,"-")</f>
        <v>5.444126074498568</v>
      </c>
    </row>
    <row r="20" spans="1:21" ht="45.95" customHeight="1">
      <c r="A20" s="504" t="s">
        <v>203</v>
      </c>
      <c r="B20" s="504"/>
      <c r="C20" s="504"/>
      <c r="D20" s="504"/>
      <c r="E20" s="504"/>
      <c r="F20" s="504"/>
      <c r="G20" s="504"/>
      <c r="H20" s="504"/>
      <c r="I20" s="504"/>
      <c r="J20" s="504"/>
      <c r="K20" s="504"/>
      <c r="L20" s="504"/>
      <c r="M20" s="504"/>
      <c r="N20" s="303"/>
      <c r="O20" s="303"/>
      <c r="P20" s="303"/>
      <c r="Q20" s="302"/>
      <c r="R20" s="302"/>
      <c r="S20" s="302"/>
      <c r="T20" s="302"/>
      <c r="U20" s="302"/>
    </row>
  </sheetData>
  <sortState ref="A15:U19">
    <sortCondition descending="1" ref="R15:R19"/>
  </sortState>
  <mergeCells count="34">
    <mergeCell ref="A1:U1"/>
    <mergeCell ref="A2:A4"/>
    <mergeCell ref="B2:E2"/>
    <mergeCell ref="F2:I2"/>
    <mergeCell ref="J2:M2"/>
    <mergeCell ref="N2:Q2"/>
    <mergeCell ref="B3:D3"/>
    <mergeCell ref="Q3:Q4"/>
    <mergeCell ref="R2:U2"/>
    <mergeCell ref="U3:U4"/>
    <mergeCell ref="N11:Q11"/>
    <mergeCell ref="R3:T3"/>
    <mergeCell ref="E3:E4"/>
    <mergeCell ref="F3:H3"/>
    <mergeCell ref="I3:I4"/>
    <mergeCell ref="J3:L3"/>
    <mergeCell ref="M3:M4"/>
    <mergeCell ref="N3:P3"/>
    <mergeCell ref="A20:M20"/>
    <mergeCell ref="R11:U11"/>
    <mergeCell ref="R12:T12"/>
    <mergeCell ref="U12:U13"/>
    <mergeCell ref="E12:E13"/>
    <mergeCell ref="F12:H12"/>
    <mergeCell ref="I12:I13"/>
    <mergeCell ref="J12:L12"/>
    <mergeCell ref="M12:M13"/>
    <mergeCell ref="N12:P12"/>
    <mergeCell ref="A11:A13"/>
    <mergeCell ref="B12:D12"/>
    <mergeCell ref="Q12:Q13"/>
    <mergeCell ref="B11:E11"/>
    <mergeCell ref="F11:I11"/>
    <mergeCell ref="J11:M11"/>
  </mergeCells>
  <phoneticPr fontId="2" type="noConversion"/>
  <hyperlinks>
    <hyperlink ref="V1" location="本篇表次!A1" display="回本篇表次"/>
  </hyperlinks>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L23"/>
  <sheetViews>
    <sheetView showGridLines="0" workbookViewId="0">
      <pane xSplit="1" topLeftCell="B1" activePane="topRight" state="frozen"/>
      <selection sqref="A1:U1"/>
      <selection pane="topRight" sqref="A1:U1"/>
    </sheetView>
  </sheetViews>
  <sheetFormatPr defaultColWidth="9" defaultRowHeight="16.5"/>
  <cols>
    <col min="1" max="1" width="18.125" customWidth="1"/>
    <col min="12" max="12" width="12.625" bestFit="1" customWidth="1"/>
  </cols>
  <sheetData>
    <row r="1" spans="1:12" ht="24.95" customHeight="1">
      <c r="A1" s="445" t="s">
        <v>204</v>
      </c>
      <c r="B1" s="445"/>
      <c r="C1" s="445"/>
      <c r="D1" s="445"/>
      <c r="E1" s="445"/>
      <c r="F1" s="445"/>
      <c r="G1" s="445"/>
      <c r="H1" s="445"/>
      <c r="I1" s="445"/>
      <c r="J1" s="445"/>
      <c r="K1" s="445"/>
      <c r="L1" s="348" t="s">
        <v>644</v>
      </c>
    </row>
    <row r="2" spans="1:12" ht="20.100000000000001" customHeight="1">
      <c r="A2" s="5"/>
      <c r="B2" s="462" t="s">
        <v>100</v>
      </c>
      <c r="C2" s="450"/>
      <c r="D2" s="462" t="s">
        <v>101</v>
      </c>
      <c r="E2" s="450"/>
      <c r="F2" s="462" t="s">
        <v>102</v>
      </c>
      <c r="G2" s="450"/>
      <c r="H2" s="462" t="s">
        <v>103</v>
      </c>
      <c r="I2" s="450"/>
      <c r="J2" s="462" t="s">
        <v>104</v>
      </c>
      <c r="K2" s="450"/>
    </row>
    <row r="3" spans="1:12" ht="20.100000000000001" customHeight="1">
      <c r="A3" s="5"/>
      <c r="B3" s="10" t="s">
        <v>105</v>
      </c>
      <c r="C3" s="10" t="s">
        <v>106</v>
      </c>
      <c r="D3" s="10" t="s">
        <v>105</v>
      </c>
      <c r="E3" s="10" t="s">
        <v>106</v>
      </c>
      <c r="F3" s="10" t="s">
        <v>105</v>
      </c>
      <c r="G3" s="10" t="s">
        <v>106</v>
      </c>
      <c r="H3" s="10" t="s">
        <v>105</v>
      </c>
      <c r="I3" s="10" t="s">
        <v>106</v>
      </c>
      <c r="J3" s="10" t="s">
        <v>105</v>
      </c>
      <c r="K3" s="10" t="s">
        <v>106</v>
      </c>
    </row>
    <row r="4" spans="1:12" ht="20.100000000000001" customHeight="1">
      <c r="A4" s="14" t="s">
        <v>107</v>
      </c>
      <c r="B4" s="21">
        <f t="shared" ref="B4:I4" si="0">SUM(B7:B11)</f>
        <v>3289</v>
      </c>
      <c r="C4" s="22">
        <f t="shared" si="0"/>
        <v>99.999999999999986</v>
      </c>
      <c r="D4" s="21">
        <f t="shared" si="0"/>
        <v>2099</v>
      </c>
      <c r="E4" s="22">
        <f t="shared" si="0"/>
        <v>99.999999999999986</v>
      </c>
      <c r="F4" s="21">
        <f t="shared" si="0"/>
        <v>2066</v>
      </c>
      <c r="G4" s="22">
        <f t="shared" si="0"/>
        <v>99.999999999999986</v>
      </c>
      <c r="H4" s="21">
        <f t="shared" si="0"/>
        <v>1380</v>
      </c>
      <c r="I4" s="22">
        <f t="shared" si="0"/>
        <v>100</v>
      </c>
      <c r="J4" s="21">
        <f t="shared" ref="J4" si="1">SUM(J7:J11)</f>
        <v>833</v>
      </c>
      <c r="K4" s="22">
        <f t="shared" ref="K4" si="2">SUM(K7:K11)</f>
        <v>100</v>
      </c>
    </row>
    <row r="5" spans="1:12" ht="20.100000000000001" customHeight="1">
      <c r="A5" s="23" t="s">
        <v>108</v>
      </c>
      <c r="B5" s="21">
        <v>2546</v>
      </c>
      <c r="C5" s="22">
        <f>IFERROR(B5/B$4*100,"-")</f>
        <v>77.409546974764368</v>
      </c>
      <c r="D5" s="21">
        <v>1544</v>
      </c>
      <c r="E5" s="22">
        <f>IFERROR(D5/D$4*100,"-")</f>
        <v>73.558837541686515</v>
      </c>
      <c r="F5" s="21">
        <v>1522</v>
      </c>
      <c r="G5" s="22">
        <f>IFERROR(F5/F$4*100,"-")</f>
        <v>73.668925459825758</v>
      </c>
      <c r="H5" s="21">
        <v>997</v>
      </c>
      <c r="I5" s="22">
        <f>IFERROR(H5/H$4*100,"-")</f>
        <v>72.246376811594203</v>
      </c>
      <c r="J5" s="21">
        <v>595</v>
      </c>
      <c r="K5" s="22">
        <f>IFERROR(J5/J$4*100,"-")</f>
        <v>71.428571428571431</v>
      </c>
    </row>
    <row r="6" spans="1:12" ht="20.100000000000001" customHeight="1">
      <c r="A6" s="24" t="s">
        <v>109</v>
      </c>
      <c r="B6" s="25">
        <v>743</v>
      </c>
      <c r="C6" s="26">
        <f t="shared" ref="C6:C11" si="3">IFERROR(B6/B$4*100,"-")</f>
        <v>22.590453025235636</v>
      </c>
      <c r="D6" s="25">
        <v>555</v>
      </c>
      <c r="E6" s="26">
        <f t="shared" ref="E6:E11" si="4">IFERROR(D6/D$4*100,"-")</f>
        <v>26.441162458313482</v>
      </c>
      <c r="F6" s="25">
        <v>544</v>
      </c>
      <c r="G6" s="26">
        <f t="shared" ref="G6:G11" si="5">IFERROR(F6/F$4*100,"-")</f>
        <v>26.331074540174249</v>
      </c>
      <c r="H6" s="25">
        <v>383</v>
      </c>
      <c r="I6" s="26">
        <f t="shared" ref="I6:I11" si="6">IFERROR(H6/H$4*100,"-")</f>
        <v>27.753623188405797</v>
      </c>
      <c r="J6" s="84">
        <v>238</v>
      </c>
      <c r="K6" s="26">
        <f t="shared" ref="K6:K10" si="7">IFERROR(J6/J$4*100,"-")</f>
        <v>28.571428571428569</v>
      </c>
    </row>
    <row r="7" spans="1:12" ht="20.100000000000001" customHeight="1">
      <c r="A7" s="37" t="s">
        <v>110</v>
      </c>
      <c r="B7" s="21">
        <v>1714</v>
      </c>
      <c r="C7" s="22">
        <f t="shared" si="3"/>
        <v>52.113104287017329</v>
      </c>
      <c r="D7" s="21">
        <v>1097</v>
      </c>
      <c r="E7" s="22">
        <f t="shared" si="4"/>
        <v>52.262982372558362</v>
      </c>
      <c r="F7" s="21">
        <v>1163</v>
      </c>
      <c r="G7" s="22">
        <f t="shared" si="5"/>
        <v>56.292352371732811</v>
      </c>
      <c r="H7" s="21">
        <v>776</v>
      </c>
      <c r="I7" s="22">
        <f t="shared" si="6"/>
        <v>56.231884057971016</v>
      </c>
      <c r="J7" s="21">
        <v>457</v>
      </c>
      <c r="K7" s="22">
        <f t="shared" si="7"/>
        <v>54.861944777911162</v>
      </c>
    </row>
    <row r="8" spans="1:12" ht="20.100000000000001" customHeight="1">
      <c r="A8" s="27" t="s">
        <v>111</v>
      </c>
      <c r="B8" s="21">
        <v>1284</v>
      </c>
      <c r="C8" s="22">
        <f t="shared" si="3"/>
        <v>39.039221647917302</v>
      </c>
      <c r="D8" s="21">
        <v>801</v>
      </c>
      <c r="E8" s="22">
        <f t="shared" si="4"/>
        <v>38.161029061457832</v>
      </c>
      <c r="F8" s="21">
        <v>705</v>
      </c>
      <c r="G8" s="22">
        <f t="shared" si="5"/>
        <v>34.123910939012589</v>
      </c>
      <c r="H8" s="21">
        <v>481</v>
      </c>
      <c r="I8" s="22">
        <f t="shared" si="6"/>
        <v>34.855072463768117</v>
      </c>
      <c r="J8" s="21">
        <v>282</v>
      </c>
      <c r="K8" s="22">
        <f t="shared" si="7"/>
        <v>33.853541416566628</v>
      </c>
    </row>
    <row r="9" spans="1:12" ht="20.100000000000001" customHeight="1">
      <c r="A9" s="27" t="s">
        <v>112</v>
      </c>
      <c r="B9" s="21">
        <v>233</v>
      </c>
      <c r="C9" s="22">
        <f t="shared" si="3"/>
        <v>7.0842201276983889</v>
      </c>
      <c r="D9" s="21">
        <v>183</v>
      </c>
      <c r="E9" s="22">
        <f t="shared" si="4"/>
        <v>8.7184373511195812</v>
      </c>
      <c r="F9" s="21">
        <v>165</v>
      </c>
      <c r="G9" s="22">
        <f t="shared" si="5"/>
        <v>7.9864472410454983</v>
      </c>
      <c r="H9" s="21">
        <v>96</v>
      </c>
      <c r="I9" s="22">
        <f t="shared" si="6"/>
        <v>6.9565217391304346</v>
      </c>
      <c r="J9" s="21">
        <v>75</v>
      </c>
      <c r="K9" s="22">
        <f t="shared" si="7"/>
        <v>9.0036014405762312</v>
      </c>
    </row>
    <row r="10" spans="1:12" ht="20.100000000000001" customHeight="1">
      <c r="A10" s="27" t="s">
        <v>113</v>
      </c>
      <c r="B10" s="21">
        <v>58</v>
      </c>
      <c r="C10" s="22">
        <f t="shared" si="3"/>
        <v>1.7634539373669809</v>
      </c>
      <c r="D10" s="21">
        <v>18</v>
      </c>
      <c r="E10" s="22">
        <f t="shared" si="4"/>
        <v>0.85755121486422103</v>
      </c>
      <c r="F10" s="21">
        <v>33</v>
      </c>
      <c r="G10" s="22">
        <f t="shared" si="5"/>
        <v>1.5972894482090998</v>
      </c>
      <c r="H10" s="21">
        <v>27</v>
      </c>
      <c r="I10" s="22">
        <f t="shared" si="6"/>
        <v>1.956521739130435</v>
      </c>
      <c r="J10" s="21">
        <v>19</v>
      </c>
      <c r="K10" s="22">
        <f t="shared" si="7"/>
        <v>2.2809123649459786</v>
      </c>
    </row>
    <row r="11" spans="1:12" ht="20.100000000000001" customHeight="1" thickBot="1">
      <c r="A11" s="27" t="s">
        <v>114</v>
      </c>
      <c r="B11" s="28" t="s">
        <v>9</v>
      </c>
      <c r="C11" s="29" t="str">
        <f t="shared" si="3"/>
        <v>-</v>
      </c>
      <c r="D11" s="28" t="s">
        <v>9</v>
      </c>
      <c r="E11" s="29" t="str">
        <f t="shared" si="4"/>
        <v>-</v>
      </c>
      <c r="F11" s="28" t="s">
        <v>9</v>
      </c>
      <c r="G11" s="29" t="str">
        <f t="shared" si="5"/>
        <v>-</v>
      </c>
      <c r="H11" s="28" t="s">
        <v>9</v>
      </c>
      <c r="I11" s="29" t="str">
        <f t="shared" si="6"/>
        <v>-</v>
      </c>
      <c r="J11" s="28" t="s">
        <v>9</v>
      </c>
      <c r="K11" s="30" t="str">
        <f>IFERROR(J11/J$4*100,"-")</f>
        <v>-</v>
      </c>
    </row>
    <row r="12" spans="1:12" ht="20.100000000000001" customHeight="1">
      <c r="A12" s="31"/>
      <c r="B12" s="462" t="s">
        <v>115</v>
      </c>
      <c r="C12" s="450"/>
      <c r="D12" s="462" t="s">
        <v>116</v>
      </c>
      <c r="E12" s="450"/>
      <c r="F12" s="462" t="s">
        <v>117</v>
      </c>
      <c r="G12" s="450"/>
      <c r="H12" s="462" t="s">
        <v>118</v>
      </c>
      <c r="I12" s="450"/>
      <c r="J12" s="506" t="s">
        <v>448</v>
      </c>
      <c r="K12" s="450"/>
    </row>
    <row r="13" spans="1:12" ht="20.100000000000001" customHeight="1">
      <c r="A13" s="5"/>
      <c r="B13" s="10" t="s">
        <v>105</v>
      </c>
      <c r="C13" s="10" t="s">
        <v>106</v>
      </c>
      <c r="D13" s="10" t="s">
        <v>105</v>
      </c>
      <c r="E13" s="10" t="s">
        <v>106</v>
      </c>
      <c r="F13" s="10" t="s">
        <v>105</v>
      </c>
      <c r="G13" s="10" t="s">
        <v>106</v>
      </c>
      <c r="H13" s="10" t="s">
        <v>105</v>
      </c>
      <c r="I13" s="10" t="s">
        <v>106</v>
      </c>
      <c r="J13" s="10" t="s">
        <v>105</v>
      </c>
      <c r="K13" s="10" t="s">
        <v>106</v>
      </c>
    </row>
    <row r="14" spans="1:12" ht="20.100000000000001" customHeight="1">
      <c r="A14" s="14" t="s">
        <v>107</v>
      </c>
      <c r="B14" s="21">
        <f t="shared" ref="B14" si="8">SUM(B17:B21)</f>
        <v>671</v>
      </c>
      <c r="C14" s="22">
        <f t="shared" ref="C14:E14" si="9">SUM(C17:C21)</f>
        <v>100</v>
      </c>
      <c r="D14" s="21">
        <f t="shared" si="9"/>
        <v>636</v>
      </c>
      <c r="E14" s="22">
        <f t="shared" si="9"/>
        <v>100.00000000000001</v>
      </c>
      <c r="F14" s="32">
        <f>SUM(F17:F21)</f>
        <v>541</v>
      </c>
      <c r="G14" s="33">
        <f t="shared" ref="G14" si="10">SUM(G17:G21)</f>
        <v>100.00000000000001</v>
      </c>
      <c r="H14" s="32">
        <f>SUM(H17:H21)</f>
        <v>385</v>
      </c>
      <c r="I14" s="33">
        <f t="shared" ref="I14" si="11">SUM(I17:I21)</f>
        <v>99.999999999999986</v>
      </c>
      <c r="J14" s="32">
        <f>SUM(J17:J21)</f>
        <v>346</v>
      </c>
      <c r="K14" s="33">
        <f t="shared" ref="K14" si="12">SUM(K17:K21)</f>
        <v>100.00000000000001</v>
      </c>
    </row>
    <row r="15" spans="1:12" ht="20.100000000000001" customHeight="1">
      <c r="A15" s="23" t="s">
        <v>108</v>
      </c>
      <c r="B15" s="21">
        <v>464</v>
      </c>
      <c r="C15" s="22">
        <f>IFERROR(B15/B$14*100,"-")</f>
        <v>69.150521609538004</v>
      </c>
      <c r="D15" s="21">
        <v>502</v>
      </c>
      <c r="E15" s="22">
        <f>IFERROR(D15/D$14*100,"-")</f>
        <v>78.930817610062903</v>
      </c>
      <c r="F15" s="104">
        <v>442</v>
      </c>
      <c r="G15" s="22">
        <f>IFERROR(F15/F$14*100,"-")</f>
        <v>81.700554528650642</v>
      </c>
      <c r="H15" s="104">
        <v>301</v>
      </c>
      <c r="I15" s="22">
        <f>IFERROR(H15/H$14*100,"-")</f>
        <v>78.181818181818187</v>
      </c>
      <c r="J15" s="104">
        <v>294</v>
      </c>
      <c r="K15" s="22">
        <f>IFERROR(J15/J$14*100,"-")</f>
        <v>84.971098265895947</v>
      </c>
    </row>
    <row r="16" spans="1:12" ht="20.100000000000001" customHeight="1">
      <c r="A16" s="83" t="s">
        <v>109</v>
      </c>
      <c r="B16" s="84">
        <v>207</v>
      </c>
      <c r="C16" s="85">
        <f t="shared" ref="C16:C21" si="13">IFERROR(B16/B$14*100,"-")</f>
        <v>30.849478390462</v>
      </c>
      <c r="D16" s="84">
        <v>134</v>
      </c>
      <c r="E16" s="85">
        <f t="shared" ref="E16:E21" si="14">IFERROR(D16/D$14*100,"-")</f>
        <v>21.069182389937108</v>
      </c>
      <c r="F16" s="229">
        <v>99</v>
      </c>
      <c r="G16" s="26">
        <f t="shared" ref="G16:G21" si="15">IFERROR(F16/F$14*100,"-")</f>
        <v>18.299445471349355</v>
      </c>
      <c r="H16" s="229">
        <v>84</v>
      </c>
      <c r="I16" s="26">
        <f t="shared" ref="I16:I21" si="16">IFERROR(H16/H$14*100,"-")</f>
        <v>21.818181818181817</v>
      </c>
      <c r="J16" s="229">
        <v>52</v>
      </c>
      <c r="K16" s="26">
        <f t="shared" ref="K16:K21" si="17">IFERROR(J16/J$14*100,"-")</f>
        <v>15.028901734104046</v>
      </c>
    </row>
    <row r="17" spans="1:11" ht="20.100000000000001" customHeight="1">
      <c r="A17" s="37" t="s">
        <v>110</v>
      </c>
      <c r="B17" s="21">
        <v>375</v>
      </c>
      <c r="C17" s="22">
        <f t="shared" si="13"/>
        <v>55.886736214605072</v>
      </c>
      <c r="D17" s="21">
        <v>381</v>
      </c>
      <c r="E17" s="22">
        <f t="shared" si="14"/>
        <v>59.905660377358494</v>
      </c>
      <c r="F17" s="35">
        <f>275+61</f>
        <v>336</v>
      </c>
      <c r="G17" s="22">
        <f t="shared" si="15"/>
        <v>62.107208872458408</v>
      </c>
      <c r="H17" s="35">
        <v>200</v>
      </c>
      <c r="I17" s="22">
        <f t="shared" si="16"/>
        <v>51.94805194805194</v>
      </c>
      <c r="J17" s="35">
        <v>189</v>
      </c>
      <c r="K17" s="22">
        <f t="shared" si="17"/>
        <v>54.624277456647398</v>
      </c>
    </row>
    <row r="18" spans="1:11" ht="20.100000000000001" customHeight="1">
      <c r="A18" s="27" t="s">
        <v>111</v>
      </c>
      <c r="B18" s="21">
        <v>211</v>
      </c>
      <c r="C18" s="22">
        <f t="shared" si="13"/>
        <v>31.445603576751118</v>
      </c>
      <c r="D18" s="21">
        <v>201</v>
      </c>
      <c r="E18" s="22">
        <f t="shared" si="14"/>
        <v>31.60377358490566</v>
      </c>
      <c r="F18" s="35">
        <f>127+22</f>
        <v>149</v>
      </c>
      <c r="G18" s="22">
        <f t="shared" si="15"/>
        <v>27.541589648798521</v>
      </c>
      <c r="H18" s="35">
        <v>142</v>
      </c>
      <c r="I18" s="22">
        <f t="shared" si="16"/>
        <v>36.883116883116884</v>
      </c>
      <c r="J18" s="35">
        <v>117</v>
      </c>
      <c r="K18" s="22">
        <f t="shared" si="17"/>
        <v>33.815028901734109</v>
      </c>
    </row>
    <row r="19" spans="1:11" ht="20.100000000000001" customHeight="1">
      <c r="A19" s="27" t="s">
        <v>112</v>
      </c>
      <c r="B19" s="21">
        <v>71</v>
      </c>
      <c r="C19" s="22">
        <f t="shared" si="13"/>
        <v>10.581222056631892</v>
      </c>
      <c r="D19" s="21">
        <v>40</v>
      </c>
      <c r="E19" s="22">
        <f t="shared" si="14"/>
        <v>6.2893081761006293</v>
      </c>
      <c r="F19" s="35">
        <f>27+12</f>
        <v>39</v>
      </c>
      <c r="G19" s="22">
        <f t="shared" si="15"/>
        <v>7.208872458410351</v>
      </c>
      <c r="H19" s="35">
        <v>36</v>
      </c>
      <c r="I19" s="22">
        <f t="shared" si="16"/>
        <v>9.3506493506493502</v>
      </c>
      <c r="J19" s="35">
        <v>29</v>
      </c>
      <c r="K19" s="22">
        <f t="shared" si="17"/>
        <v>8.3815028901734099</v>
      </c>
    </row>
    <row r="20" spans="1:11" ht="20.100000000000001" customHeight="1">
      <c r="A20" s="27" t="s">
        <v>113</v>
      </c>
      <c r="B20" s="21">
        <v>13</v>
      </c>
      <c r="C20" s="22">
        <f t="shared" si="13"/>
        <v>1.9374068554396422</v>
      </c>
      <c r="D20" s="21">
        <v>10</v>
      </c>
      <c r="E20" s="22">
        <f t="shared" si="14"/>
        <v>1.5723270440251573</v>
      </c>
      <c r="F20" s="35">
        <f>11+2</f>
        <v>13</v>
      </c>
      <c r="G20" s="22">
        <f t="shared" si="15"/>
        <v>2.4029574861367835</v>
      </c>
      <c r="H20" s="35">
        <v>7</v>
      </c>
      <c r="I20" s="22">
        <f t="shared" si="16"/>
        <v>1.8181818181818181</v>
      </c>
      <c r="J20" s="35">
        <v>6</v>
      </c>
      <c r="K20" s="22">
        <f t="shared" si="17"/>
        <v>1.7341040462427744</v>
      </c>
    </row>
    <row r="21" spans="1:11" ht="20.100000000000001" customHeight="1">
      <c r="A21" s="38" t="s">
        <v>114</v>
      </c>
      <c r="B21" s="25">
        <v>1</v>
      </c>
      <c r="C21" s="26">
        <f t="shared" si="13"/>
        <v>0.14903129657228018</v>
      </c>
      <c r="D21" s="25">
        <v>4</v>
      </c>
      <c r="E21" s="26">
        <f t="shared" si="14"/>
        <v>0.62893081761006298</v>
      </c>
      <c r="F21" s="36">
        <f>2+2</f>
        <v>4</v>
      </c>
      <c r="G21" s="26">
        <f t="shared" si="15"/>
        <v>0.73937153419593349</v>
      </c>
      <c r="H21" s="63" t="s">
        <v>9</v>
      </c>
      <c r="I21" s="8" t="str">
        <f t="shared" si="16"/>
        <v>-</v>
      </c>
      <c r="J21" s="63">
        <v>5</v>
      </c>
      <c r="K21" s="8">
        <f t="shared" si="17"/>
        <v>1.4450867052023122</v>
      </c>
    </row>
    <row r="22" spans="1:11">
      <c r="A22" s="507" t="s">
        <v>184</v>
      </c>
      <c r="B22" s="508"/>
      <c r="C22" s="509"/>
      <c r="D22" s="508"/>
      <c r="E22" s="59"/>
      <c r="F22" s="86"/>
      <c r="G22" s="87"/>
      <c r="H22" s="86"/>
      <c r="I22" s="87"/>
      <c r="J22" s="86"/>
      <c r="K22" s="88"/>
    </row>
    <row r="23" spans="1:11" ht="42" customHeight="1">
      <c r="A23" s="483" t="s">
        <v>205</v>
      </c>
      <c r="B23" s="483"/>
      <c r="C23" s="483"/>
      <c r="D23" s="483"/>
      <c r="E23" s="483"/>
      <c r="F23" s="483"/>
      <c r="G23" s="483"/>
      <c r="H23" s="483"/>
      <c r="I23" s="483"/>
      <c r="J23" s="483"/>
      <c r="K23" s="483"/>
    </row>
  </sheetData>
  <mergeCells count="13">
    <mergeCell ref="A1:K1"/>
    <mergeCell ref="B2:C2"/>
    <mergeCell ref="D2:E2"/>
    <mergeCell ref="F2:G2"/>
    <mergeCell ref="H2:I2"/>
    <mergeCell ref="J2:K2"/>
    <mergeCell ref="A23:K23"/>
    <mergeCell ref="B12:C12"/>
    <mergeCell ref="D12:E12"/>
    <mergeCell ref="F12:G12"/>
    <mergeCell ref="H12:I12"/>
    <mergeCell ref="J12:K12"/>
    <mergeCell ref="A22:D22"/>
  </mergeCells>
  <phoneticPr fontId="2" type="noConversion"/>
  <hyperlinks>
    <hyperlink ref="L1" location="本篇表次!A1" display="回本篇表次"/>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20"/>
  <sheetViews>
    <sheetView showGridLines="0" showRuler="0" zoomScale="115" zoomScaleNormal="115" zoomScalePageLayoutView="125" workbookViewId="0">
      <selection activeCell="H1" sqref="H1"/>
    </sheetView>
  </sheetViews>
  <sheetFormatPr defaultColWidth="9" defaultRowHeight="20.100000000000001" customHeight="1"/>
  <cols>
    <col min="1" max="1" width="9.125" style="59" customWidth="1"/>
    <col min="2" max="7" width="13.625" style="59" customWidth="1"/>
    <col min="8" max="8" width="12.625" style="59" bestFit="1" customWidth="1"/>
    <col min="9" max="16384" width="9" style="59"/>
  </cols>
  <sheetData>
    <row r="1" spans="1:13" ht="20.100000000000001" customHeight="1">
      <c r="A1" s="373" t="s">
        <v>547</v>
      </c>
      <c r="B1" s="373"/>
      <c r="C1" s="373"/>
      <c r="D1" s="373"/>
      <c r="E1" s="373"/>
      <c r="F1" s="373"/>
      <c r="G1" s="373"/>
      <c r="H1" s="348" t="s">
        <v>644</v>
      </c>
    </row>
    <row r="2" spans="1:13" ht="20.100000000000001" customHeight="1">
      <c r="A2" s="206"/>
      <c r="B2" s="162"/>
      <c r="C2" s="162"/>
      <c r="D2" s="162"/>
      <c r="E2" s="162"/>
      <c r="F2" s="374" t="s">
        <v>548</v>
      </c>
      <c r="G2" s="374"/>
    </row>
    <row r="3" spans="1:13" ht="20.100000000000001" customHeight="1">
      <c r="A3" s="375"/>
      <c r="B3" s="377" t="s">
        <v>549</v>
      </c>
      <c r="C3" s="377"/>
      <c r="D3" s="377"/>
      <c r="E3" s="377" t="s">
        <v>550</v>
      </c>
      <c r="F3" s="377"/>
      <c r="G3" s="377"/>
    </row>
    <row r="4" spans="1:13" ht="20.100000000000001" customHeight="1">
      <c r="A4" s="376"/>
      <c r="B4" s="207" t="s">
        <v>551</v>
      </c>
      <c r="C4" s="208" t="s">
        <v>552</v>
      </c>
      <c r="D4" s="208" t="s">
        <v>553</v>
      </c>
      <c r="E4" s="207" t="s">
        <v>551</v>
      </c>
      <c r="F4" s="208" t="s">
        <v>554</v>
      </c>
      <c r="G4" s="208" t="s">
        <v>553</v>
      </c>
    </row>
    <row r="5" spans="1:13" ht="20.100000000000001" customHeight="1">
      <c r="A5" s="16" t="s">
        <v>555</v>
      </c>
      <c r="B5" s="17">
        <v>1791110</v>
      </c>
      <c r="C5" s="17">
        <v>12038</v>
      </c>
      <c r="D5" s="18">
        <f t="shared" ref="D5:D13" si="0">C5/B5*100000</f>
        <v>672.09719112728976</v>
      </c>
      <c r="E5" s="112">
        <v>19025376</v>
      </c>
      <c r="F5" s="17">
        <v>242635</v>
      </c>
      <c r="G5" s="18">
        <f t="shared" ref="G5:G13" si="1">F5/E5*100000</f>
        <v>1275.3230212112496</v>
      </c>
      <c r="I5" s="115"/>
      <c r="J5" s="55"/>
      <c r="K5" s="115"/>
      <c r="L5" s="55"/>
      <c r="M5" s="55"/>
    </row>
    <row r="6" spans="1:13" ht="20.100000000000001" customHeight="1">
      <c r="A6" s="16" t="s">
        <v>556</v>
      </c>
      <c r="B6" s="17">
        <v>1719628</v>
      </c>
      <c r="C6" s="17">
        <v>10969</v>
      </c>
      <c r="D6" s="18">
        <f t="shared" si="0"/>
        <v>637.87051618140663</v>
      </c>
      <c r="E6" s="112">
        <v>19199546</v>
      </c>
      <c r="F6" s="17">
        <v>250029</v>
      </c>
      <c r="G6" s="18">
        <f t="shared" si="1"/>
        <v>1302.2651681451218</v>
      </c>
      <c r="I6" s="115"/>
      <c r="J6" s="55"/>
      <c r="K6" s="115"/>
      <c r="L6" s="55"/>
      <c r="M6" s="55"/>
    </row>
    <row r="7" spans="1:13" ht="20.100000000000001" customHeight="1">
      <c r="A7" s="16" t="s">
        <v>557</v>
      </c>
      <c r="B7" s="17">
        <v>1634004</v>
      </c>
      <c r="C7" s="17">
        <v>11002</v>
      </c>
      <c r="D7" s="18">
        <f t="shared" si="0"/>
        <v>673.31536520106442</v>
      </c>
      <c r="E7" s="112">
        <v>19366339</v>
      </c>
      <c r="F7" s="17">
        <v>257794</v>
      </c>
      <c r="G7" s="18">
        <f t="shared" si="1"/>
        <v>1331.1447248754657</v>
      </c>
      <c r="I7" s="115"/>
      <c r="J7" s="55"/>
      <c r="K7" s="115"/>
      <c r="L7" s="55"/>
      <c r="M7" s="55"/>
    </row>
    <row r="8" spans="1:13" ht="20.100000000000001" customHeight="1">
      <c r="A8" s="16" t="s">
        <v>558</v>
      </c>
      <c r="B8" s="17">
        <v>1561916</v>
      </c>
      <c r="C8" s="17">
        <v>9775</v>
      </c>
      <c r="D8" s="18">
        <f t="shared" si="0"/>
        <v>625.8339116828306</v>
      </c>
      <c r="E8" s="112">
        <v>19500665</v>
      </c>
      <c r="F8" s="17">
        <v>262585</v>
      </c>
      <c r="G8" s="18">
        <f t="shared" si="1"/>
        <v>1346.5438229927031</v>
      </c>
      <c r="I8" s="115"/>
      <c r="J8" s="55"/>
      <c r="K8" s="115"/>
      <c r="L8" s="55"/>
      <c r="M8" s="55"/>
    </row>
    <row r="9" spans="1:13" s="209" customFormat="1" ht="20.100000000000001" customHeight="1">
      <c r="A9" s="16" t="s">
        <v>559</v>
      </c>
      <c r="B9" s="17">
        <v>1500217</v>
      </c>
      <c r="C9" s="17">
        <v>10499</v>
      </c>
      <c r="D9" s="18">
        <f t="shared" si="0"/>
        <v>699.83209095750817</v>
      </c>
      <c r="E9" s="112">
        <v>19611597</v>
      </c>
      <c r="F9" s="17">
        <v>276321</v>
      </c>
      <c r="G9" s="18">
        <f t="shared" si="1"/>
        <v>1408.9673574263227</v>
      </c>
      <c r="I9" s="115"/>
      <c r="J9" s="55"/>
      <c r="K9" s="115"/>
      <c r="L9" s="55"/>
      <c r="M9" s="55"/>
    </row>
    <row r="10" spans="1:13" s="209" customFormat="1" ht="20.100000000000001" customHeight="1">
      <c r="A10" s="16" t="s">
        <v>560</v>
      </c>
      <c r="B10" s="17">
        <v>1413345</v>
      </c>
      <c r="C10" s="17">
        <v>8893</v>
      </c>
      <c r="D10" s="18">
        <f t="shared" si="0"/>
        <v>629.21650410904624</v>
      </c>
      <c r="E10" s="112">
        <v>19740490</v>
      </c>
      <c r="F10" s="17">
        <v>282328</v>
      </c>
      <c r="G10" s="18">
        <f t="shared" si="1"/>
        <v>1430.1975280248869</v>
      </c>
      <c r="I10" s="115"/>
      <c r="J10" s="115"/>
      <c r="K10" s="115"/>
      <c r="L10" s="115"/>
      <c r="M10" s="55"/>
    </row>
    <row r="11" spans="1:13" s="209" customFormat="1" ht="20.100000000000001" customHeight="1">
      <c r="A11" s="16" t="s">
        <v>561</v>
      </c>
      <c r="B11" s="17">
        <v>1338302</v>
      </c>
      <c r="C11" s="17">
        <v>9441</v>
      </c>
      <c r="D11" s="18">
        <f t="shared" si="0"/>
        <v>705.44615490375111</v>
      </c>
      <c r="E11" s="112">
        <v>19855664</v>
      </c>
      <c r="F11" s="17">
        <v>267781</v>
      </c>
      <c r="G11" s="18">
        <f t="shared" si="1"/>
        <v>1348.6378496332331</v>
      </c>
      <c r="I11" s="115"/>
      <c r="J11" s="115"/>
      <c r="K11" s="115"/>
      <c r="L11" s="115"/>
      <c r="M11" s="55"/>
    </row>
    <row r="12" spans="1:13" s="209" customFormat="1" ht="20.100000000000001" customHeight="1">
      <c r="A12" s="16" t="s">
        <v>562</v>
      </c>
      <c r="B12" s="17">
        <v>1287900</v>
      </c>
      <c r="C12" s="17">
        <v>10226</v>
      </c>
      <c r="D12" s="18">
        <f t="shared" si="0"/>
        <v>794.00574578771636</v>
      </c>
      <c r="E12" s="112">
        <v>19923092</v>
      </c>
      <c r="F12" s="17">
        <v>271366</v>
      </c>
      <c r="G12" s="18">
        <f t="shared" si="1"/>
        <v>1362.0676951147946</v>
      </c>
      <c r="I12" s="115"/>
      <c r="J12" s="115"/>
      <c r="K12" s="115"/>
      <c r="L12" s="115"/>
      <c r="M12" s="55"/>
    </row>
    <row r="13" spans="1:13" s="209" customFormat="1" ht="20.100000000000001" customHeight="1">
      <c r="A13" s="16" t="s">
        <v>563</v>
      </c>
      <c r="B13" s="17">
        <v>1242387</v>
      </c>
      <c r="C13" s="17">
        <v>9627</v>
      </c>
      <c r="D13" s="18">
        <f t="shared" si="0"/>
        <v>774.87932504123114</v>
      </c>
      <c r="E13" s="112">
        <v>19901442</v>
      </c>
      <c r="F13" s="17">
        <v>255593</v>
      </c>
      <c r="G13" s="18">
        <f t="shared" si="1"/>
        <v>1284.2938717706988</v>
      </c>
      <c r="I13" s="115"/>
      <c r="J13" s="115"/>
      <c r="K13" s="115"/>
      <c r="L13" s="115"/>
      <c r="M13" s="55"/>
    </row>
    <row r="14" spans="1:13" ht="20.100000000000001" customHeight="1">
      <c r="A14" s="162" t="s">
        <v>448</v>
      </c>
      <c r="B14" s="54">
        <v>1194869</v>
      </c>
      <c r="C14" s="54">
        <v>9554</v>
      </c>
      <c r="D14" s="124">
        <f t="shared" ref="D14" si="2">C14/B14*100000</f>
        <v>799.58556126236419</v>
      </c>
      <c r="E14" s="210">
        <v>19845040</v>
      </c>
      <c r="F14" s="54">
        <v>282337</v>
      </c>
      <c r="G14" s="124">
        <f t="shared" ref="G14" si="3">F14/E14*100000</f>
        <v>1422.7081426895588</v>
      </c>
      <c r="I14" s="115"/>
      <c r="J14" s="115"/>
      <c r="K14" s="115"/>
      <c r="L14" s="115"/>
      <c r="M14" s="55"/>
    </row>
    <row r="15" spans="1:13" ht="15.75">
      <c r="A15" s="211" t="s">
        <v>564</v>
      </c>
      <c r="B15" s="211"/>
      <c r="C15" s="212"/>
      <c r="D15" s="212"/>
      <c r="E15" s="212"/>
      <c r="F15" s="212"/>
      <c r="G15" s="212"/>
      <c r="H15" s="74"/>
      <c r="I15" s="55"/>
      <c r="J15" s="55"/>
    </row>
    <row r="16" spans="1:13" ht="29.25" customHeight="1">
      <c r="A16" s="371" t="s">
        <v>565</v>
      </c>
      <c r="B16" s="372"/>
      <c r="C16" s="372"/>
      <c r="D16" s="372"/>
      <c r="E16" s="372"/>
      <c r="F16" s="213"/>
      <c r="G16" s="213"/>
    </row>
    <row r="17" spans="3:3" ht="15.75"/>
    <row r="20" spans="3:3" ht="20.100000000000001" customHeight="1">
      <c r="C20" s="214"/>
    </row>
  </sheetData>
  <mergeCells count="6">
    <mergeCell ref="A16:E16"/>
    <mergeCell ref="A1:G1"/>
    <mergeCell ref="F2:G2"/>
    <mergeCell ref="A3:A4"/>
    <mergeCell ref="B3:D3"/>
    <mergeCell ref="E3:G3"/>
  </mergeCells>
  <phoneticPr fontId="2" type="noConversion"/>
  <hyperlinks>
    <hyperlink ref="H1" location="本篇表次!A1" display="回本篇表次"/>
  </hyperlinks>
  <printOptions horizontalCentered="1" verticalCentered="1"/>
  <pageMargins left="0.74803149606299213" right="0.74803149606299213" top="0.74803149606299213" bottom="0.74803149606299213" header="0.51181102362204722" footer="0.51181102362204722"/>
  <pageSetup paperSize="224"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L18"/>
  <sheetViews>
    <sheetView showGridLines="0" workbookViewId="0">
      <pane xSplit="1" topLeftCell="B1" activePane="topRight" state="frozen"/>
      <selection sqref="A1:U1"/>
      <selection pane="topRight" sqref="A1:U1"/>
    </sheetView>
  </sheetViews>
  <sheetFormatPr defaultColWidth="9" defaultRowHeight="16.5"/>
  <cols>
    <col min="1" max="1" width="18.125" customWidth="1"/>
    <col min="12" max="12" width="12.625" bestFit="1" customWidth="1"/>
  </cols>
  <sheetData>
    <row r="1" spans="1:12" ht="24" customHeight="1">
      <c r="A1" s="373" t="s">
        <v>660</v>
      </c>
      <c r="B1" s="373"/>
      <c r="C1" s="373"/>
      <c r="D1" s="373"/>
      <c r="E1" s="373"/>
      <c r="F1" s="373"/>
      <c r="G1" s="373"/>
      <c r="H1" s="373"/>
      <c r="I1" s="373"/>
      <c r="J1" s="373"/>
      <c r="K1" s="373"/>
      <c r="L1" s="348" t="s">
        <v>644</v>
      </c>
    </row>
    <row r="2" spans="1:12" ht="18.95" customHeight="1">
      <c r="A2" s="19"/>
      <c r="B2" s="378" t="s">
        <v>49</v>
      </c>
      <c r="C2" s="378"/>
      <c r="D2" s="378" t="s">
        <v>50</v>
      </c>
      <c r="E2" s="378"/>
      <c r="F2" s="378" t="s">
        <v>51</v>
      </c>
      <c r="G2" s="378"/>
      <c r="H2" s="378" t="s">
        <v>52</v>
      </c>
      <c r="I2" s="378"/>
      <c r="J2" s="378" t="s">
        <v>268</v>
      </c>
      <c r="K2" s="378"/>
    </row>
    <row r="3" spans="1:12" ht="18.95" customHeight="1">
      <c r="A3" s="5"/>
      <c r="B3" s="10" t="s">
        <v>122</v>
      </c>
      <c r="C3" s="10" t="s">
        <v>106</v>
      </c>
      <c r="D3" s="10" t="s">
        <v>122</v>
      </c>
      <c r="E3" s="10" t="s">
        <v>106</v>
      </c>
      <c r="F3" s="10" t="s">
        <v>122</v>
      </c>
      <c r="G3" s="10" t="s">
        <v>106</v>
      </c>
      <c r="H3" s="10" t="s">
        <v>122</v>
      </c>
      <c r="I3" s="10" t="s">
        <v>106</v>
      </c>
      <c r="J3" s="10" t="s">
        <v>122</v>
      </c>
      <c r="K3" s="10" t="s">
        <v>106</v>
      </c>
    </row>
    <row r="4" spans="1:12" ht="18.95" customHeight="1">
      <c r="A4" s="27" t="s">
        <v>65</v>
      </c>
      <c r="B4" s="147">
        <v>3302</v>
      </c>
      <c r="C4" s="22">
        <f>SUM(C5:C9)</f>
        <v>100.00000000000001</v>
      </c>
      <c r="D4" s="147">
        <v>2105</v>
      </c>
      <c r="E4" s="22">
        <f>SUM(E5:E9)</f>
        <v>99.999999999999986</v>
      </c>
      <c r="F4" s="147">
        <v>2076</v>
      </c>
      <c r="G4" s="22">
        <f>SUM(G5:G9)</f>
        <v>99.999999999999986</v>
      </c>
      <c r="H4" s="147">
        <v>1386</v>
      </c>
      <c r="I4" s="22">
        <f>SUM(I5:I9)</f>
        <v>100.00000000000001</v>
      </c>
      <c r="J4" s="147">
        <v>835</v>
      </c>
      <c r="K4" s="22">
        <f>SUM(K5:K9)</f>
        <v>99.999999999999986</v>
      </c>
    </row>
    <row r="5" spans="1:12" ht="18.95" customHeight="1">
      <c r="A5" s="27" t="s">
        <v>378</v>
      </c>
      <c r="B5" s="21">
        <v>2838</v>
      </c>
      <c r="C5" s="22">
        <f>IFERROR(B5/B$4*100,"-")</f>
        <v>85.947910357359177</v>
      </c>
      <c r="D5" s="21">
        <v>1782</v>
      </c>
      <c r="E5" s="22">
        <f>IFERROR(D5/D$4*100,"-")</f>
        <v>84.655581947743457</v>
      </c>
      <c r="F5" s="21">
        <v>1796</v>
      </c>
      <c r="G5" s="22">
        <f>IFERROR(F5/F$4*100,"-")</f>
        <v>86.51252408477842</v>
      </c>
      <c r="H5" s="21">
        <v>1220</v>
      </c>
      <c r="I5" s="22">
        <f>IFERROR(H5/H$4*100,"-")</f>
        <v>88.023088023088022</v>
      </c>
      <c r="J5" s="21">
        <v>733</v>
      </c>
      <c r="K5" s="22">
        <f>IFERROR(J5/J$4*100,"-")</f>
        <v>87.784431137724553</v>
      </c>
    </row>
    <row r="6" spans="1:12" ht="18.95" customHeight="1">
      <c r="A6" s="27" t="s">
        <v>379</v>
      </c>
      <c r="B6" s="21">
        <v>280</v>
      </c>
      <c r="C6" s="22">
        <f>IFERROR(B6/B$4*100,"-")</f>
        <v>8.4797092671108416</v>
      </c>
      <c r="D6" s="21">
        <v>215</v>
      </c>
      <c r="E6" s="22">
        <f>IFERROR(D6/D$4*100,"-")</f>
        <v>10.213776722090261</v>
      </c>
      <c r="F6" s="21">
        <v>190</v>
      </c>
      <c r="G6" s="22">
        <f>IFERROR(F6/F$4*100,"-")</f>
        <v>9.1522157996146429</v>
      </c>
      <c r="H6" s="21">
        <v>109</v>
      </c>
      <c r="I6" s="22">
        <f>IFERROR(H6/H$4*100,"-")</f>
        <v>7.8643578643578644</v>
      </c>
      <c r="J6" s="21">
        <v>69</v>
      </c>
      <c r="K6" s="22">
        <f>IFERROR(J6/J$4*100,"-")</f>
        <v>8.2634730538922163</v>
      </c>
    </row>
    <row r="7" spans="1:12" ht="18.95" customHeight="1">
      <c r="A7" s="27" t="s">
        <v>380</v>
      </c>
      <c r="B7" s="21">
        <v>83</v>
      </c>
      <c r="C7" s="22">
        <f>IFERROR(B7/B$4*100,"-")</f>
        <v>2.5136281041792854</v>
      </c>
      <c r="D7" s="21">
        <v>28</v>
      </c>
      <c r="E7" s="22">
        <f>IFERROR(D7/D$4*100,"-")</f>
        <v>1.330166270783848</v>
      </c>
      <c r="F7" s="21">
        <v>22</v>
      </c>
      <c r="G7" s="22">
        <f>IFERROR(F7/F$4*100,"-")</f>
        <v>1.0597302504816954</v>
      </c>
      <c r="H7" s="21">
        <v>18</v>
      </c>
      <c r="I7" s="22">
        <f>IFERROR(H7/H$4*100,"-")</f>
        <v>1.2987012987012987</v>
      </c>
      <c r="J7" s="21">
        <v>5</v>
      </c>
      <c r="K7" s="22">
        <f>IFERROR(J7/J$4*100,"-")</f>
        <v>0.5988023952095809</v>
      </c>
    </row>
    <row r="8" spans="1:12" ht="18.95" customHeight="1">
      <c r="A8" s="27" t="s">
        <v>381</v>
      </c>
      <c r="B8" s="21">
        <v>94</v>
      </c>
      <c r="C8" s="22">
        <f>IFERROR(B8/B$4*100,"-")</f>
        <v>2.8467595396729255</v>
      </c>
      <c r="D8" s="21">
        <v>69</v>
      </c>
      <c r="E8" s="22">
        <f>IFERROR(D8/D$4*100,"-")</f>
        <v>3.2779097387173399</v>
      </c>
      <c r="F8" s="21">
        <v>59</v>
      </c>
      <c r="G8" s="22">
        <f>IFERROR(F8/F$4*100,"-")</f>
        <v>2.8420038535645471</v>
      </c>
      <c r="H8" s="21">
        <v>32</v>
      </c>
      <c r="I8" s="22">
        <f>IFERROR(H8/H$4*100,"-")</f>
        <v>2.3088023088023086</v>
      </c>
      <c r="J8" s="21">
        <v>26</v>
      </c>
      <c r="K8" s="22">
        <f>IFERROR(J8/J$4*100,"-")</f>
        <v>3.1137724550898205</v>
      </c>
    </row>
    <row r="9" spans="1:12" ht="18.95" customHeight="1" thickBot="1">
      <c r="A9" s="27" t="s">
        <v>382</v>
      </c>
      <c r="B9" s="21">
        <v>7</v>
      </c>
      <c r="C9" s="22">
        <f>IFERROR(B9/B$4*100,"-")</f>
        <v>0.21199273167777105</v>
      </c>
      <c r="D9" s="21">
        <v>11</v>
      </c>
      <c r="E9" s="22">
        <f>IFERROR(D9/D$4*100,"-")</f>
        <v>0.5225653206650831</v>
      </c>
      <c r="F9" s="25">
        <v>9</v>
      </c>
      <c r="G9" s="22">
        <f>IFERROR(F9/F$4*100,"-")</f>
        <v>0.43352601156069359</v>
      </c>
      <c r="H9" s="25">
        <v>7</v>
      </c>
      <c r="I9" s="22">
        <f>IFERROR(H9/H$4*100,"-")</f>
        <v>0.50505050505050508</v>
      </c>
      <c r="J9" s="25">
        <v>2</v>
      </c>
      <c r="K9" s="22">
        <f>IFERROR(J9/J$4*100,"-")</f>
        <v>0.23952095808383234</v>
      </c>
    </row>
    <row r="10" spans="1:12" ht="18.95" customHeight="1">
      <c r="A10" s="31"/>
      <c r="B10" s="449" t="s">
        <v>54</v>
      </c>
      <c r="C10" s="449"/>
      <c r="D10" s="449" t="s">
        <v>55</v>
      </c>
      <c r="E10" s="449"/>
      <c r="F10" s="449" t="s">
        <v>56</v>
      </c>
      <c r="G10" s="449"/>
      <c r="H10" s="449" t="s">
        <v>123</v>
      </c>
      <c r="I10" s="449"/>
      <c r="J10" s="449" t="s">
        <v>58</v>
      </c>
      <c r="K10" s="449"/>
    </row>
    <row r="11" spans="1:12" ht="18.95" customHeight="1">
      <c r="A11" s="5"/>
      <c r="B11" s="10" t="s">
        <v>122</v>
      </c>
      <c r="C11" s="10" t="s">
        <v>106</v>
      </c>
      <c r="D11" s="10" t="s">
        <v>122</v>
      </c>
      <c r="E11" s="10" t="s">
        <v>106</v>
      </c>
      <c r="F11" s="10" t="s">
        <v>122</v>
      </c>
      <c r="G11" s="10" t="s">
        <v>106</v>
      </c>
      <c r="H11" s="10" t="s">
        <v>122</v>
      </c>
      <c r="I11" s="10" t="s">
        <v>106</v>
      </c>
      <c r="J11" s="10" t="s">
        <v>122</v>
      </c>
      <c r="K11" s="10" t="s">
        <v>106</v>
      </c>
    </row>
    <row r="12" spans="1:12" ht="18.95" customHeight="1">
      <c r="A12" s="27" t="s">
        <v>65</v>
      </c>
      <c r="B12" s="147">
        <v>675</v>
      </c>
      <c r="C12" s="22">
        <f>SUM(C13:C17)</f>
        <v>100.00000000000001</v>
      </c>
      <c r="D12" s="147">
        <v>638</v>
      </c>
      <c r="E12" s="22">
        <f t="shared" ref="E12:K12" si="0">SUM(E13:E17)</f>
        <v>100</v>
      </c>
      <c r="F12" s="12">
        <f t="shared" si="0"/>
        <v>544</v>
      </c>
      <c r="G12" s="22">
        <f t="shared" si="0"/>
        <v>100.00000000000001</v>
      </c>
      <c r="H12" s="12">
        <f t="shared" si="0"/>
        <v>387</v>
      </c>
      <c r="I12" s="22">
        <f t="shared" si="0"/>
        <v>99.999999999999986</v>
      </c>
      <c r="J12" s="12">
        <f t="shared" si="0"/>
        <v>349</v>
      </c>
      <c r="K12" s="22">
        <f t="shared" si="0"/>
        <v>100</v>
      </c>
    </row>
    <row r="13" spans="1:12" ht="18.95" customHeight="1">
      <c r="A13" s="27" t="s">
        <v>378</v>
      </c>
      <c r="B13" s="21">
        <v>590</v>
      </c>
      <c r="C13" s="22">
        <f>IFERROR(B13/B$12*100,"-")</f>
        <v>87.407407407407405</v>
      </c>
      <c r="D13" s="21">
        <v>547</v>
      </c>
      <c r="E13" s="22">
        <f>IFERROR(D13/D$12*100,"-")</f>
        <v>85.736677115987462</v>
      </c>
      <c r="F13" s="6">
        <f>386+88</f>
        <v>474</v>
      </c>
      <c r="G13" s="22">
        <f>IFERROR(F13/F$12*100,"-")</f>
        <v>87.132352941176478</v>
      </c>
      <c r="H13" s="6">
        <f>258+72</f>
        <v>330</v>
      </c>
      <c r="I13" s="22">
        <f>IFERROR(H13/H$12*100,"-")</f>
        <v>85.271317829457359</v>
      </c>
      <c r="J13" s="6">
        <v>301</v>
      </c>
      <c r="K13" s="22">
        <f>IFERROR(J13/J$12*100,"-")</f>
        <v>86.246418338108882</v>
      </c>
    </row>
    <row r="14" spans="1:12" ht="18.95" customHeight="1">
      <c r="A14" s="27" t="s">
        <v>379</v>
      </c>
      <c r="B14" s="21">
        <v>55</v>
      </c>
      <c r="C14" s="22">
        <f>IFERROR(B14/B$12*100,"-")</f>
        <v>8.1481481481481488</v>
      </c>
      <c r="D14" s="21">
        <v>67</v>
      </c>
      <c r="E14" s="22">
        <f>IFERROR(D14/D$12*100,"-")</f>
        <v>10.501567398119123</v>
      </c>
      <c r="F14" s="6">
        <f>32+12</f>
        <v>44</v>
      </c>
      <c r="G14" s="22">
        <f>IFERROR(F14/F$12*100,"-")</f>
        <v>8.0882352941176467</v>
      </c>
      <c r="H14" s="6">
        <f>24+7</f>
        <v>31</v>
      </c>
      <c r="I14" s="22">
        <f>IFERROR(H14/H$12*100,"-")</f>
        <v>8.0103359173126609</v>
      </c>
      <c r="J14" s="6">
        <v>30</v>
      </c>
      <c r="K14" s="22">
        <f t="shared" ref="K14:K17" si="1">IFERROR(J14/J$12*100,"-")</f>
        <v>8.5959885386819472</v>
      </c>
    </row>
    <row r="15" spans="1:12" ht="18.95" customHeight="1">
      <c r="A15" s="27" t="s">
        <v>380</v>
      </c>
      <c r="B15" s="21">
        <v>8</v>
      </c>
      <c r="C15" s="22">
        <f>IFERROR(B15/B$12*100,"-")</f>
        <v>1.1851851851851851</v>
      </c>
      <c r="D15" s="21">
        <v>13</v>
      </c>
      <c r="E15" s="22">
        <f>IFERROR(D15/D$12*100,"-")</f>
        <v>2.0376175548589339</v>
      </c>
      <c r="F15" s="6">
        <f>16+1</f>
        <v>17</v>
      </c>
      <c r="G15" s="22">
        <f>IFERROR(F15/F$12*100,"-")</f>
        <v>3.125</v>
      </c>
      <c r="H15" s="6">
        <f>11+4</f>
        <v>15</v>
      </c>
      <c r="I15" s="22">
        <f>IFERROR(H15/H$12*100,"-")</f>
        <v>3.8759689922480618</v>
      </c>
      <c r="J15" s="6">
        <v>10</v>
      </c>
      <c r="K15" s="22">
        <f t="shared" si="1"/>
        <v>2.8653295128939829</v>
      </c>
    </row>
    <row r="16" spans="1:12" ht="18.95" customHeight="1">
      <c r="A16" s="27" t="s">
        <v>381</v>
      </c>
      <c r="B16" s="21">
        <v>21</v>
      </c>
      <c r="C16" s="22">
        <f>IFERROR(B16/B$12*100,"-")</f>
        <v>3.1111111111111112</v>
      </c>
      <c r="D16" s="21">
        <v>9</v>
      </c>
      <c r="E16" s="22">
        <f>IFERROR(D16/D$12*100,"-")</f>
        <v>1.4106583072100314</v>
      </c>
      <c r="F16" s="6">
        <f>8+1</f>
        <v>9</v>
      </c>
      <c r="G16" s="22">
        <f>IFERROR(F16/F$12*100,"-")</f>
        <v>1.6544117647058825</v>
      </c>
      <c r="H16" s="6">
        <f>8+2</f>
        <v>10</v>
      </c>
      <c r="I16" s="22">
        <f>IFERROR(H16/H$12*100,"-")</f>
        <v>2.5839793281653747</v>
      </c>
      <c r="J16" s="6">
        <v>7</v>
      </c>
      <c r="K16" s="22">
        <f t="shared" si="1"/>
        <v>2.005730659025788</v>
      </c>
    </row>
    <row r="17" spans="1:11" ht="18.95" customHeight="1">
      <c r="A17" s="38" t="s">
        <v>382</v>
      </c>
      <c r="B17" s="25">
        <v>1</v>
      </c>
      <c r="C17" s="22">
        <f>IFERROR(B17/B$12*100,"-")</f>
        <v>0.14814814814814814</v>
      </c>
      <c r="D17" s="25">
        <v>2</v>
      </c>
      <c r="E17" s="22">
        <f>IFERROR(D17/D$12*100,"-")</f>
        <v>0.31347962382445138</v>
      </c>
      <c r="F17" s="8" t="s">
        <v>80</v>
      </c>
      <c r="G17" s="69" t="str">
        <f>IFERROR(F17/F$12*100,"-")</f>
        <v>-</v>
      </c>
      <c r="H17" s="8">
        <v>1</v>
      </c>
      <c r="I17" s="22">
        <f>IFERROR(H17/H$12*100,"-")</f>
        <v>0.2583979328165375</v>
      </c>
      <c r="J17" s="8">
        <v>1</v>
      </c>
      <c r="K17" s="22">
        <f t="shared" si="1"/>
        <v>0.28653295128939826</v>
      </c>
    </row>
    <row r="18" spans="1:11" ht="48" customHeight="1">
      <c r="A18" s="510" t="s">
        <v>443</v>
      </c>
      <c r="B18" s="510"/>
      <c r="C18" s="510"/>
      <c r="D18" s="510"/>
      <c r="E18" s="510"/>
      <c r="F18" s="510"/>
      <c r="G18" s="510"/>
      <c r="H18" s="510"/>
      <c r="I18" s="510"/>
      <c r="J18" s="510"/>
      <c r="K18" s="510"/>
    </row>
  </sheetData>
  <mergeCells count="12">
    <mergeCell ref="A18:K18"/>
    <mergeCell ref="J10:K10"/>
    <mergeCell ref="A1:K1"/>
    <mergeCell ref="B2:C2"/>
    <mergeCell ref="D2:E2"/>
    <mergeCell ref="F2:G2"/>
    <mergeCell ref="H2:I2"/>
    <mergeCell ref="J2:K2"/>
    <mergeCell ref="B10:C10"/>
    <mergeCell ref="D10:E10"/>
    <mergeCell ref="F10:G10"/>
    <mergeCell ref="H10:I10"/>
  </mergeCells>
  <phoneticPr fontId="2" type="noConversion"/>
  <hyperlinks>
    <hyperlink ref="L1" location="本篇表次!A1" display="回本篇表次"/>
  </hyperlinks>
  <pageMargins left="0.7" right="0.7" top="0.75" bottom="0.75" header="0.3" footer="0.3"/>
  <pageSetup paperSize="9" orientation="portrait" r:id="rId1"/>
  <ignoredErrors>
    <ignoredError sqref="H13:H16" formula="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L22"/>
  <sheetViews>
    <sheetView showGridLines="0" workbookViewId="0">
      <pane xSplit="1" topLeftCell="B1" activePane="topRight" state="frozen"/>
      <selection sqref="A1:U1"/>
      <selection pane="topRight" sqref="A1:U1"/>
    </sheetView>
  </sheetViews>
  <sheetFormatPr defaultColWidth="9" defaultRowHeight="16.5"/>
  <cols>
    <col min="1" max="1" width="15.875" customWidth="1"/>
    <col min="12" max="12" width="12.625" bestFit="1" customWidth="1"/>
  </cols>
  <sheetData>
    <row r="1" spans="1:12" ht="24" customHeight="1">
      <c r="A1" s="373" t="s">
        <v>444</v>
      </c>
      <c r="B1" s="373"/>
      <c r="C1" s="373"/>
      <c r="D1" s="373"/>
      <c r="E1" s="373"/>
      <c r="F1" s="373"/>
      <c r="G1" s="373"/>
      <c r="H1" s="373"/>
      <c r="I1" s="373"/>
      <c r="J1" s="373"/>
      <c r="K1" s="373"/>
      <c r="L1" s="348" t="s">
        <v>644</v>
      </c>
    </row>
    <row r="2" spans="1:12" ht="18.95" customHeight="1">
      <c r="A2" s="19"/>
      <c r="B2" s="378" t="s">
        <v>49</v>
      </c>
      <c r="C2" s="378"/>
      <c r="D2" s="378" t="s">
        <v>50</v>
      </c>
      <c r="E2" s="378"/>
      <c r="F2" s="378" t="s">
        <v>51</v>
      </c>
      <c r="G2" s="378"/>
      <c r="H2" s="378" t="s">
        <v>52</v>
      </c>
      <c r="I2" s="378"/>
      <c r="J2" s="378" t="s">
        <v>53</v>
      </c>
      <c r="K2" s="378"/>
    </row>
    <row r="3" spans="1:12" ht="18.95" customHeight="1">
      <c r="A3" s="5"/>
      <c r="B3" s="10" t="s">
        <v>122</v>
      </c>
      <c r="C3" s="10" t="s">
        <v>106</v>
      </c>
      <c r="D3" s="10" t="s">
        <v>122</v>
      </c>
      <c r="E3" s="10" t="s">
        <v>106</v>
      </c>
      <c r="F3" s="10" t="s">
        <v>122</v>
      </c>
      <c r="G3" s="10" t="s">
        <v>106</v>
      </c>
      <c r="H3" s="10" t="s">
        <v>122</v>
      </c>
      <c r="I3" s="10" t="s">
        <v>106</v>
      </c>
      <c r="J3" s="10" t="s">
        <v>122</v>
      </c>
      <c r="K3" s="10" t="s">
        <v>106</v>
      </c>
    </row>
    <row r="4" spans="1:12" ht="18.95" customHeight="1">
      <c r="A4" s="27" t="s">
        <v>65</v>
      </c>
      <c r="B4" s="147">
        <v>3302</v>
      </c>
      <c r="C4" s="148">
        <f>SUM(C5:C11)</f>
        <v>99.999999999999986</v>
      </c>
      <c r="D4" s="147">
        <v>2105</v>
      </c>
      <c r="E4" s="148">
        <f>SUM(E5:E11)</f>
        <v>99.999999999999986</v>
      </c>
      <c r="F4" s="147">
        <v>2076</v>
      </c>
      <c r="G4" s="148">
        <f>SUM(G5:G11)</f>
        <v>100.00000000000001</v>
      </c>
      <c r="H4" s="147">
        <v>1386</v>
      </c>
      <c r="I4" s="148">
        <f>SUM(I5:I11)</f>
        <v>99.999999999999972</v>
      </c>
      <c r="J4" s="147">
        <v>835</v>
      </c>
      <c r="K4" s="148">
        <f>SUM(K5:K11)</f>
        <v>99.999999999999986</v>
      </c>
    </row>
    <row r="5" spans="1:12" ht="18.95" customHeight="1">
      <c r="A5" s="27" t="s">
        <v>144</v>
      </c>
      <c r="B5" s="21">
        <v>1220</v>
      </c>
      <c r="C5" s="22">
        <f>IFERROR(B5/B$4*100,"-")</f>
        <v>36.9473046638401</v>
      </c>
      <c r="D5" s="21">
        <v>866</v>
      </c>
      <c r="E5" s="22">
        <f>IFERROR(D5/D$4*100,"-")</f>
        <v>41.140142517814724</v>
      </c>
      <c r="F5" s="21">
        <v>894</v>
      </c>
      <c r="G5" s="22">
        <f>IFERROR(F5/F$4*100,"-")</f>
        <v>43.063583815028899</v>
      </c>
      <c r="H5" s="21">
        <v>596</v>
      </c>
      <c r="I5" s="22">
        <f>IFERROR(H5/H$4*100,"-")</f>
        <v>43.001443001443</v>
      </c>
      <c r="J5" s="21">
        <v>381</v>
      </c>
      <c r="K5" s="22">
        <f>IFERROR(J5/J$4*100,"-")</f>
        <v>45.628742514970064</v>
      </c>
    </row>
    <row r="6" spans="1:12" ht="18.95" customHeight="1">
      <c r="A6" s="27" t="s">
        <v>145</v>
      </c>
      <c r="B6" s="21">
        <v>1361</v>
      </c>
      <c r="C6" s="22">
        <f t="shared" ref="C6:C11" si="0">IFERROR(B6/B$4*100,"-")</f>
        <v>41.217443973349482</v>
      </c>
      <c r="D6" s="21">
        <v>781</v>
      </c>
      <c r="E6" s="22">
        <f t="shared" ref="E6:E11" si="1">IFERROR(D6/D$4*100,"-")</f>
        <v>37.102137767220903</v>
      </c>
      <c r="F6" s="21">
        <v>728</v>
      </c>
      <c r="G6" s="22">
        <f t="shared" ref="G6:G11" si="2">IFERROR(F6/F$4*100,"-")</f>
        <v>35.067437379576106</v>
      </c>
      <c r="H6" s="21">
        <v>487</v>
      </c>
      <c r="I6" s="22">
        <f t="shared" ref="I6:I11" si="3">IFERROR(H6/H$4*100,"-")</f>
        <v>35.137085137085137</v>
      </c>
      <c r="J6" s="21">
        <v>272</v>
      </c>
      <c r="K6" s="22">
        <f t="shared" ref="K6:K11" si="4">IFERROR(J6/J$4*100,"-")</f>
        <v>32.574850299401199</v>
      </c>
    </row>
    <row r="7" spans="1:12" ht="18.95" customHeight="1">
      <c r="A7" s="27" t="s">
        <v>146</v>
      </c>
      <c r="B7" s="21">
        <v>265</v>
      </c>
      <c r="C7" s="22">
        <f>IFERROR(B7/B$4*100,"-")</f>
        <v>8.0254391278013326</v>
      </c>
      <c r="D7" s="21">
        <v>175</v>
      </c>
      <c r="E7" s="22">
        <f>IFERROR(D7/D$4*100,"-")</f>
        <v>8.31353919239905</v>
      </c>
      <c r="F7" s="21">
        <v>136</v>
      </c>
      <c r="G7" s="22">
        <f>IFERROR(F7/F$4*100,"-")</f>
        <v>6.5510597302504818</v>
      </c>
      <c r="H7" s="21">
        <v>92</v>
      </c>
      <c r="I7" s="22">
        <f>IFERROR(H7/H$4*100,"-")</f>
        <v>6.637806637806638</v>
      </c>
      <c r="J7" s="21">
        <v>60</v>
      </c>
      <c r="K7" s="22">
        <f>IFERROR(J7/J$4*100,"-")</f>
        <v>7.1856287425149699</v>
      </c>
    </row>
    <row r="8" spans="1:12" ht="18.95" customHeight="1">
      <c r="A8" s="27" t="s">
        <v>147</v>
      </c>
      <c r="B8" s="21">
        <v>198</v>
      </c>
      <c r="C8" s="22">
        <f t="shared" si="0"/>
        <v>5.9963658388855245</v>
      </c>
      <c r="D8" s="21">
        <v>110</v>
      </c>
      <c r="E8" s="22">
        <f t="shared" si="1"/>
        <v>5.225653206650831</v>
      </c>
      <c r="F8" s="21">
        <v>129</v>
      </c>
      <c r="G8" s="22">
        <f t="shared" si="2"/>
        <v>6.2138728323699421</v>
      </c>
      <c r="H8" s="21">
        <v>85</v>
      </c>
      <c r="I8" s="22">
        <f t="shared" si="3"/>
        <v>6.1327561327561328</v>
      </c>
      <c r="J8" s="21">
        <v>55</v>
      </c>
      <c r="K8" s="22">
        <f t="shared" si="4"/>
        <v>6.5868263473053901</v>
      </c>
    </row>
    <row r="9" spans="1:12" ht="18.95" customHeight="1">
      <c r="A9" s="27" t="s">
        <v>148</v>
      </c>
      <c r="B9" s="21">
        <v>79</v>
      </c>
      <c r="C9" s="22">
        <f t="shared" si="0"/>
        <v>2.3924894003634161</v>
      </c>
      <c r="D9" s="21">
        <v>48</v>
      </c>
      <c r="E9" s="22">
        <f t="shared" si="1"/>
        <v>2.2802850356294537</v>
      </c>
      <c r="F9" s="21">
        <v>53</v>
      </c>
      <c r="G9" s="22">
        <f t="shared" si="2"/>
        <v>2.5529865125240847</v>
      </c>
      <c r="H9" s="21">
        <v>31</v>
      </c>
      <c r="I9" s="22">
        <f t="shared" si="3"/>
        <v>2.2366522366522368</v>
      </c>
      <c r="J9" s="21">
        <v>16</v>
      </c>
      <c r="K9" s="22">
        <f t="shared" si="4"/>
        <v>1.9161676646706587</v>
      </c>
    </row>
    <row r="10" spans="1:12" ht="18.95" customHeight="1">
      <c r="A10" s="27" t="s">
        <v>149</v>
      </c>
      <c r="B10" s="21">
        <v>24</v>
      </c>
      <c r="C10" s="22">
        <f t="shared" si="0"/>
        <v>0.7268322228952151</v>
      </c>
      <c r="D10" s="21">
        <v>8</v>
      </c>
      <c r="E10" s="22">
        <f t="shared" si="1"/>
        <v>0.38004750593824227</v>
      </c>
      <c r="F10" s="21">
        <v>19</v>
      </c>
      <c r="G10" s="22">
        <f t="shared" si="2"/>
        <v>0.91522157996146436</v>
      </c>
      <c r="H10" s="21">
        <v>10</v>
      </c>
      <c r="I10" s="22">
        <f t="shared" si="3"/>
        <v>0.72150072150072153</v>
      </c>
      <c r="J10" s="21">
        <v>5</v>
      </c>
      <c r="K10" s="22">
        <f t="shared" si="4"/>
        <v>0.5988023952095809</v>
      </c>
    </row>
    <row r="11" spans="1:12" ht="18.95" customHeight="1" thickBot="1">
      <c r="A11" s="40" t="s">
        <v>44</v>
      </c>
      <c r="B11" s="28">
        <v>155</v>
      </c>
      <c r="C11" s="30">
        <f t="shared" si="0"/>
        <v>4.6941247728649307</v>
      </c>
      <c r="D11" s="28">
        <v>117</v>
      </c>
      <c r="E11" s="30">
        <f t="shared" si="1"/>
        <v>5.5581947743467932</v>
      </c>
      <c r="F11" s="28">
        <v>117</v>
      </c>
      <c r="G11" s="30">
        <f t="shared" si="2"/>
        <v>5.6358381502890174</v>
      </c>
      <c r="H11" s="28">
        <v>85</v>
      </c>
      <c r="I11" s="30">
        <f t="shared" si="3"/>
        <v>6.1327561327561328</v>
      </c>
      <c r="J11" s="28">
        <v>46</v>
      </c>
      <c r="K11" s="30">
        <f t="shared" si="4"/>
        <v>5.5089820359281436</v>
      </c>
    </row>
    <row r="12" spans="1:12" ht="18.95" customHeight="1">
      <c r="A12" s="5"/>
      <c r="B12" s="450" t="s">
        <v>54</v>
      </c>
      <c r="C12" s="450"/>
      <c r="D12" s="450" t="s">
        <v>55</v>
      </c>
      <c r="E12" s="450"/>
      <c r="F12" s="450" t="s">
        <v>56</v>
      </c>
      <c r="G12" s="450"/>
      <c r="H12" s="450" t="s">
        <v>123</v>
      </c>
      <c r="I12" s="450"/>
      <c r="J12" s="450" t="s">
        <v>119</v>
      </c>
      <c r="K12" s="450"/>
    </row>
    <row r="13" spans="1:12" ht="18.95" customHeight="1">
      <c r="A13" s="5"/>
      <c r="B13" s="10" t="s">
        <v>122</v>
      </c>
      <c r="C13" s="10" t="s">
        <v>106</v>
      </c>
      <c r="D13" s="10" t="s">
        <v>122</v>
      </c>
      <c r="E13" s="10" t="s">
        <v>106</v>
      </c>
      <c r="F13" s="10" t="s">
        <v>122</v>
      </c>
      <c r="G13" s="10" t="s">
        <v>106</v>
      </c>
      <c r="H13" s="10" t="s">
        <v>122</v>
      </c>
      <c r="I13" s="10" t="s">
        <v>106</v>
      </c>
      <c r="J13" s="10" t="s">
        <v>122</v>
      </c>
      <c r="K13" s="10" t="s">
        <v>106</v>
      </c>
    </row>
    <row r="14" spans="1:12" ht="18.95" customHeight="1">
      <c r="A14" s="27" t="s">
        <v>65</v>
      </c>
      <c r="B14" s="147">
        <v>675</v>
      </c>
      <c r="C14" s="148">
        <f>SUM(C15:C21)</f>
        <v>100</v>
      </c>
      <c r="D14" s="147">
        <v>638</v>
      </c>
      <c r="E14" s="148">
        <f t="shared" ref="E14:K14" si="5">SUM(E15:E21)</f>
        <v>99.999999999999986</v>
      </c>
      <c r="F14" s="147">
        <f t="shared" si="5"/>
        <v>544</v>
      </c>
      <c r="G14" s="148">
        <f t="shared" si="5"/>
        <v>100.00000000000001</v>
      </c>
      <c r="H14" s="147">
        <f t="shared" si="5"/>
        <v>387</v>
      </c>
      <c r="I14" s="148">
        <f t="shared" si="5"/>
        <v>100</v>
      </c>
      <c r="J14" s="147">
        <f t="shared" si="5"/>
        <v>349</v>
      </c>
      <c r="K14" s="148">
        <f t="shared" si="5"/>
        <v>100</v>
      </c>
    </row>
    <row r="15" spans="1:12" ht="18.95" customHeight="1">
      <c r="A15" s="27" t="s">
        <v>144</v>
      </c>
      <c r="B15" s="21">
        <v>312</v>
      </c>
      <c r="C15" s="22">
        <f t="shared" ref="C15:C21" si="6">IFERROR(B15/B$14*100,"-")</f>
        <v>46.222222222222221</v>
      </c>
      <c r="D15" s="21">
        <v>281</v>
      </c>
      <c r="E15" s="22">
        <f t="shared" ref="E15:E21" si="7">IFERROR(D15/D$14*100,"-")</f>
        <v>44.043887147335425</v>
      </c>
      <c r="F15" s="21">
        <f>211+53</f>
        <v>264</v>
      </c>
      <c r="G15" s="22">
        <f t="shared" ref="G15:G21" si="8">IFERROR(F15/F$14*100,"-")</f>
        <v>48.529411764705884</v>
      </c>
      <c r="H15" s="21">
        <v>161</v>
      </c>
      <c r="I15" s="22">
        <f t="shared" ref="I15:I21" si="9">IFERROR(H15/H$14*100,"-")</f>
        <v>41.60206718346253</v>
      </c>
      <c r="J15" s="21">
        <v>147</v>
      </c>
      <c r="K15" s="22">
        <f t="shared" ref="K15:K21" si="10">IFERROR(J15/J$14*100,"-")</f>
        <v>42.120343839541547</v>
      </c>
    </row>
    <row r="16" spans="1:12" ht="18.95" customHeight="1">
      <c r="A16" s="27" t="s">
        <v>145</v>
      </c>
      <c r="B16" s="21">
        <v>217</v>
      </c>
      <c r="C16" s="22">
        <f t="shared" si="6"/>
        <v>32.148148148148145</v>
      </c>
      <c r="D16" s="21">
        <v>210</v>
      </c>
      <c r="E16" s="22">
        <f t="shared" si="7"/>
        <v>32.915360501567399</v>
      </c>
      <c r="F16" s="21">
        <f>147+23</f>
        <v>170</v>
      </c>
      <c r="G16" s="22">
        <f t="shared" si="8"/>
        <v>31.25</v>
      </c>
      <c r="H16" s="21">
        <v>139</v>
      </c>
      <c r="I16" s="22">
        <f t="shared" si="9"/>
        <v>35.917312661498705</v>
      </c>
      <c r="J16" s="21">
        <v>123</v>
      </c>
      <c r="K16" s="22">
        <f t="shared" si="10"/>
        <v>35.243553008595988</v>
      </c>
    </row>
    <row r="17" spans="1:11" ht="18.95" customHeight="1">
      <c r="A17" s="27" t="s">
        <v>146</v>
      </c>
      <c r="B17" s="21">
        <v>45</v>
      </c>
      <c r="C17" s="22">
        <f t="shared" si="6"/>
        <v>6.666666666666667</v>
      </c>
      <c r="D17" s="21">
        <v>52</v>
      </c>
      <c r="E17" s="22">
        <f t="shared" si="7"/>
        <v>8.1504702194357357</v>
      </c>
      <c r="F17" s="21">
        <f>24+10</f>
        <v>34</v>
      </c>
      <c r="G17" s="22">
        <f t="shared" si="8"/>
        <v>6.25</v>
      </c>
      <c r="H17" s="21">
        <v>26</v>
      </c>
      <c r="I17" s="22">
        <f t="shared" si="9"/>
        <v>6.7183462532299743</v>
      </c>
      <c r="J17" s="21">
        <v>27</v>
      </c>
      <c r="K17" s="22">
        <f t="shared" si="10"/>
        <v>7.7363896848137532</v>
      </c>
    </row>
    <row r="18" spans="1:11" ht="18.95" customHeight="1">
      <c r="A18" s="27" t="s">
        <v>147</v>
      </c>
      <c r="B18" s="21">
        <v>39</v>
      </c>
      <c r="C18" s="22">
        <f t="shared" si="6"/>
        <v>5.7777777777777777</v>
      </c>
      <c r="D18" s="21">
        <v>37</v>
      </c>
      <c r="E18" s="22">
        <f t="shared" si="7"/>
        <v>5.7993730407523509</v>
      </c>
      <c r="F18" s="21">
        <f>23+6</f>
        <v>29</v>
      </c>
      <c r="G18" s="22">
        <f t="shared" si="8"/>
        <v>5.3308823529411766</v>
      </c>
      <c r="H18" s="21">
        <v>28</v>
      </c>
      <c r="I18" s="22">
        <f t="shared" si="9"/>
        <v>7.2351421188630489</v>
      </c>
      <c r="J18" s="21">
        <v>18</v>
      </c>
      <c r="K18" s="22">
        <f t="shared" si="10"/>
        <v>5.1575931232091694</v>
      </c>
    </row>
    <row r="19" spans="1:11" ht="18.95" customHeight="1">
      <c r="A19" s="27" t="s">
        <v>148</v>
      </c>
      <c r="B19" s="21">
        <v>18</v>
      </c>
      <c r="C19" s="22">
        <f t="shared" si="6"/>
        <v>2.666666666666667</v>
      </c>
      <c r="D19" s="21">
        <v>19</v>
      </c>
      <c r="E19" s="22">
        <f t="shared" si="7"/>
        <v>2.9780564263322882</v>
      </c>
      <c r="F19" s="21">
        <f>5+1</f>
        <v>6</v>
      </c>
      <c r="G19" s="22">
        <f t="shared" si="8"/>
        <v>1.1029411764705883</v>
      </c>
      <c r="H19" s="21">
        <v>5</v>
      </c>
      <c r="I19" s="22">
        <f t="shared" si="9"/>
        <v>1.2919896640826873</v>
      </c>
      <c r="J19" s="21">
        <v>11</v>
      </c>
      <c r="K19" s="22">
        <f t="shared" si="10"/>
        <v>3.151862464183381</v>
      </c>
    </row>
    <row r="20" spans="1:11" ht="18.95" customHeight="1">
      <c r="A20" s="237" t="s">
        <v>149</v>
      </c>
      <c r="B20" s="308">
        <v>5</v>
      </c>
      <c r="C20" s="244">
        <f t="shared" si="6"/>
        <v>0.74074074074074081</v>
      </c>
      <c r="D20" s="308">
        <v>4</v>
      </c>
      <c r="E20" s="244">
        <f t="shared" si="7"/>
        <v>0.62695924764890276</v>
      </c>
      <c r="F20" s="308">
        <f>2+0</f>
        <v>2</v>
      </c>
      <c r="G20" s="244">
        <f t="shared" si="8"/>
        <v>0.36764705882352938</v>
      </c>
      <c r="H20" s="308">
        <v>3</v>
      </c>
      <c r="I20" s="244">
        <f t="shared" si="9"/>
        <v>0.77519379844961245</v>
      </c>
      <c r="J20" s="308">
        <v>1</v>
      </c>
      <c r="K20" s="244">
        <f t="shared" si="10"/>
        <v>0.28653295128939826</v>
      </c>
    </row>
    <row r="21" spans="1:11" ht="18.95" customHeight="1">
      <c r="A21" s="38" t="s">
        <v>44</v>
      </c>
      <c r="B21" s="25">
        <v>39</v>
      </c>
      <c r="C21" s="26">
        <f t="shared" si="6"/>
        <v>5.7777777777777777</v>
      </c>
      <c r="D21" s="25">
        <v>35</v>
      </c>
      <c r="E21" s="26">
        <f t="shared" si="7"/>
        <v>5.4858934169279001</v>
      </c>
      <c r="F21" s="25">
        <f>30+9</f>
        <v>39</v>
      </c>
      <c r="G21" s="26">
        <f t="shared" si="8"/>
        <v>7.1691176470588234</v>
      </c>
      <c r="H21" s="25">
        <v>25</v>
      </c>
      <c r="I21" s="26">
        <f t="shared" si="9"/>
        <v>6.459948320413436</v>
      </c>
      <c r="J21" s="25">
        <v>22</v>
      </c>
      <c r="K21" s="26">
        <f t="shared" si="10"/>
        <v>6.303724928366762</v>
      </c>
    </row>
    <row r="22" spans="1:11" ht="45" customHeight="1">
      <c r="A22" s="511" t="s">
        <v>443</v>
      </c>
      <c r="B22" s="511"/>
      <c r="C22" s="511"/>
      <c r="D22" s="511"/>
      <c r="E22" s="511"/>
      <c r="F22" s="511"/>
      <c r="G22" s="511"/>
      <c r="H22" s="511"/>
      <c r="I22" s="511"/>
      <c r="J22" s="511"/>
      <c r="K22" s="511"/>
    </row>
  </sheetData>
  <sortState ref="A15:K20">
    <sortCondition descending="1" ref="J15:J20"/>
  </sortState>
  <mergeCells count="12">
    <mergeCell ref="A22:K22"/>
    <mergeCell ref="A1:K1"/>
    <mergeCell ref="B2:C2"/>
    <mergeCell ref="D2:E2"/>
    <mergeCell ref="F2:G2"/>
    <mergeCell ref="H2:I2"/>
    <mergeCell ref="J2:K2"/>
    <mergeCell ref="B12:C12"/>
    <mergeCell ref="D12:E12"/>
    <mergeCell ref="F12:G12"/>
    <mergeCell ref="H12:I12"/>
    <mergeCell ref="J12:K12"/>
  </mergeCells>
  <phoneticPr fontId="2" type="noConversion"/>
  <hyperlinks>
    <hyperlink ref="L1" location="本篇表次!A1" display="回本篇表次"/>
  </hyperlinks>
  <pageMargins left="0.7" right="0.7" top="0.75" bottom="0.75" header="0.3" footer="0.3"/>
  <pageSetup paperSize="9" orientation="portrait"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I22"/>
  <sheetViews>
    <sheetView showGridLines="0" zoomScale="110" zoomScaleNormal="110" workbookViewId="0">
      <selection sqref="A1:U1"/>
    </sheetView>
  </sheetViews>
  <sheetFormatPr defaultColWidth="20.625" defaultRowHeight="16.5"/>
  <cols>
    <col min="1" max="1" width="5.375" customWidth="1"/>
    <col min="2" max="2" width="5.875" customWidth="1"/>
    <col min="3" max="3" width="6.375" customWidth="1"/>
    <col min="9" max="9" width="12.75" bestFit="1" customWidth="1"/>
  </cols>
  <sheetData>
    <row r="1" spans="1:9" ht="24.95" customHeight="1">
      <c r="A1" s="512" t="s">
        <v>661</v>
      </c>
      <c r="B1" s="512"/>
      <c r="C1" s="512"/>
      <c r="D1" s="512"/>
      <c r="E1" s="512"/>
      <c r="F1" s="512"/>
      <c r="G1" s="512"/>
      <c r="H1" s="512"/>
      <c r="I1" s="348" t="s">
        <v>644</v>
      </c>
    </row>
    <row r="2" spans="1:9" ht="20.100000000000001" customHeight="1">
      <c r="A2" s="177"/>
      <c r="B2" s="513"/>
      <c r="C2" s="514"/>
      <c r="D2" s="176" t="s">
        <v>461</v>
      </c>
      <c r="E2" s="176" t="s">
        <v>445</v>
      </c>
      <c r="F2" s="176" t="s">
        <v>214</v>
      </c>
      <c r="G2" s="176" t="s">
        <v>460</v>
      </c>
      <c r="H2" s="176" t="s">
        <v>58</v>
      </c>
    </row>
    <row r="3" spans="1:9" ht="20.100000000000001" customHeight="1">
      <c r="A3" s="515" t="s">
        <v>459</v>
      </c>
      <c r="B3" s="516" t="s">
        <v>458</v>
      </c>
      <c r="C3" s="171" t="s">
        <v>452</v>
      </c>
      <c r="D3" s="175">
        <f t="shared" ref="D3:H4" si="0">SUM(D5,D7)</f>
        <v>2565</v>
      </c>
      <c r="E3" s="175">
        <f t="shared" si="0"/>
        <v>2502</v>
      </c>
      <c r="F3" s="175">
        <f t="shared" si="0"/>
        <v>2749</v>
      </c>
      <c r="G3" s="175">
        <f t="shared" si="0"/>
        <v>2177</v>
      </c>
      <c r="H3" s="175">
        <f t="shared" si="0"/>
        <v>2132</v>
      </c>
    </row>
    <row r="4" spans="1:9" ht="20.100000000000001" customHeight="1">
      <c r="A4" s="515"/>
      <c r="B4" s="517"/>
      <c r="C4" s="173" t="s">
        <v>451</v>
      </c>
      <c r="D4" s="172">
        <f t="shared" si="0"/>
        <v>100</v>
      </c>
      <c r="E4" s="172">
        <f t="shared" si="0"/>
        <v>100</v>
      </c>
      <c r="F4" s="172">
        <f t="shared" si="0"/>
        <v>100</v>
      </c>
      <c r="G4" s="172">
        <f t="shared" si="0"/>
        <v>100</v>
      </c>
      <c r="H4" s="172">
        <f t="shared" si="0"/>
        <v>100</v>
      </c>
    </row>
    <row r="5" spans="1:9" ht="20.100000000000001" customHeight="1">
      <c r="A5" s="515"/>
      <c r="B5" s="517" t="s">
        <v>454</v>
      </c>
      <c r="C5" s="171" t="s">
        <v>452</v>
      </c>
      <c r="D5" s="170">
        <v>2263</v>
      </c>
      <c r="E5" s="170">
        <v>2236</v>
      </c>
      <c r="F5" s="170">
        <v>2496</v>
      </c>
      <c r="G5" s="170">
        <v>1965</v>
      </c>
      <c r="H5" s="170">
        <v>1944</v>
      </c>
    </row>
    <row r="6" spans="1:9" ht="20.100000000000001" customHeight="1">
      <c r="A6" s="515"/>
      <c r="B6" s="517"/>
      <c r="C6" s="173" t="s">
        <v>451</v>
      </c>
      <c r="D6" s="172">
        <f>IFERROR(D5/D$3*100,"-")</f>
        <v>88.226120857699811</v>
      </c>
      <c r="E6" s="172">
        <f>IFERROR(E5/E$3*100,"-")</f>
        <v>89.368505195843326</v>
      </c>
      <c r="F6" s="172">
        <f>IFERROR(F5/F$3*100,"-")</f>
        <v>90.796653328483089</v>
      </c>
      <c r="G6" s="172">
        <f>IFERROR(G5/G$3*100,"-")</f>
        <v>90.261828203950387</v>
      </c>
      <c r="H6" s="172">
        <f>IFERROR(H5/H$3*100,"-")</f>
        <v>91.18198874296435</v>
      </c>
    </row>
    <row r="7" spans="1:9" ht="20.100000000000001" customHeight="1">
      <c r="A7" s="515"/>
      <c r="B7" s="518" t="s">
        <v>453</v>
      </c>
      <c r="C7" s="171" t="s">
        <v>452</v>
      </c>
      <c r="D7" s="170">
        <v>302</v>
      </c>
      <c r="E7" s="170">
        <v>266</v>
      </c>
      <c r="F7" s="170">
        <v>253</v>
      </c>
      <c r="G7" s="170">
        <v>212</v>
      </c>
      <c r="H7" s="170">
        <v>188</v>
      </c>
    </row>
    <row r="8" spans="1:9" ht="20.100000000000001" customHeight="1">
      <c r="A8" s="515"/>
      <c r="B8" s="518"/>
      <c r="C8" s="173" t="s">
        <v>451</v>
      </c>
      <c r="D8" s="172">
        <f>IFERROR(D7/D$3*100,"-")</f>
        <v>11.773879142300196</v>
      </c>
      <c r="E8" s="172">
        <f>IFERROR(E7/E$3*100,"-")</f>
        <v>10.631494804156674</v>
      </c>
      <c r="F8" s="172">
        <f>IFERROR(F7/F$3*100,"-")</f>
        <v>9.2033466715169148</v>
      </c>
      <c r="G8" s="172">
        <f>IFERROR(G7/G$3*100,"-")</f>
        <v>9.7381717960496097</v>
      </c>
      <c r="H8" s="172">
        <f>IFERROR(H7/H$3*100,"-")</f>
        <v>8.8180112570356481</v>
      </c>
    </row>
    <row r="9" spans="1:9" ht="20.100000000000001" customHeight="1">
      <c r="A9" s="519" t="s">
        <v>457</v>
      </c>
      <c r="B9" s="520" t="s">
        <v>455</v>
      </c>
      <c r="C9" s="171" t="s">
        <v>452</v>
      </c>
      <c r="D9" s="170">
        <v>2479</v>
      </c>
      <c r="E9" s="170">
        <v>2391</v>
      </c>
      <c r="F9" s="170">
        <v>2601</v>
      </c>
      <c r="G9" s="170">
        <v>2005</v>
      </c>
      <c r="H9" s="170">
        <v>1920</v>
      </c>
    </row>
    <row r="10" spans="1:9" ht="20.100000000000001" customHeight="1">
      <c r="A10" s="519"/>
      <c r="B10" s="517"/>
      <c r="C10" s="173" t="s">
        <v>451</v>
      </c>
      <c r="D10" s="172">
        <f>SUM(D12,D14)</f>
        <v>100</v>
      </c>
      <c r="E10" s="172">
        <f>SUM(E12,E14)</f>
        <v>100</v>
      </c>
      <c r="F10" s="172">
        <f>SUM(F12,F14)</f>
        <v>100</v>
      </c>
      <c r="G10" s="172">
        <f>SUM(G12,G14)</f>
        <v>100</v>
      </c>
      <c r="H10" s="172">
        <f>SUM(H12,H14)</f>
        <v>100</v>
      </c>
    </row>
    <row r="11" spans="1:9" ht="20.100000000000001" customHeight="1">
      <c r="A11" s="519"/>
      <c r="B11" s="517" t="s">
        <v>454</v>
      </c>
      <c r="C11" s="171" t="s">
        <v>452</v>
      </c>
      <c r="D11" s="170">
        <v>2194</v>
      </c>
      <c r="E11" s="170">
        <v>2133</v>
      </c>
      <c r="F11" s="170">
        <v>2359</v>
      </c>
      <c r="G11" s="170">
        <v>1806</v>
      </c>
      <c r="H11" s="170">
        <v>1737</v>
      </c>
    </row>
    <row r="12" spans="1:9" ht="20.100000000000001" customHeight="1">
      <c r="A12" s="519"/>
      <c r="B12" s="517"/>
      <c r="C12" s="173" t="s">
        <v>451</v>
      </c>
      <c r="D12" s="172">
        <f>IFERROR(D11/D$9*100,"-")</f>
        <v>88.503428801936266</v>
      </c>
      <c r="E12" s="172">
        <f>IFERROR(E11/E$9*100,"-")</f>
        <v>89.20953575909661</v>
      </c>
      <c r="F12" s="172">
        <f>IFERROR(F11/F$9*100,"-")</f>
        <v>90.695886197616304</v>
      </c>
      <c r="G12" s="172">
        <f>IFERROR(G11/G$9*100,"-")</f>
        <v>90.074812967581053</v>
      </c>
      <c r="H12" s="172">
        <f>IFERROR(H11/H$9*100,"-")</f>
        <v>90.46875</v>
      </c>
    </row>
    <row r="13" spans="1:9" ht="20.100000000000001" customHeight="1">
      <c r="A13" s="519"/>
      <c r="B13" s="518" t="s">
        <v>453</v>
      </c>
      <c r="C13" s="171" t="s">
        <v>452</v>
      </c>
      <c r="D13" s="170">
        <v>285</v>
      </c>
      <c r="E13" s="170">
        <v>258</v>
      </c>
      <c r="F13" s="170">
        <v>242</v>
      </c>
      <c r="G13" s="170">
        <v>199</v>
      </c>
      <c r="H13" s="170">
        <v>183</v>
      </c>
    </row>
    <row r="14" spans="1:9" ht="20.100000000000001" customHeight="1">
      <c r="A14" s="519"/>
      <c r="B14" s="518"/>
      <c r="C14" s="173" t="s">
        <v>451</v>
      </c>
      <c r="D14" s="172">
        <f>IFERROR(D13/D$9*100,"-")</f>
        <v>11.496571198063736</v>
      </c>
      <c r="E14" s="172">
        <f>IFERROR(E13/E$9*100,"-")</f>
        <v>10.790464240903388</v>
      </c>
      <c r="F14" s="172">
        <f>IFERROR(F13/F$9*100,"-")</f>
        <v>9.3041138023836982</v>
      </c>
      <c r="G14" s="172">
        <f>IFERROR(G13/G$9*100,"-")</f>
        <v>9.9251870324189522</v>
      </c>
      <c r="H14" s="172">
        <f>IFERROR(H13/H$9*100,"-")</f>
        <v>9.53125</v>
      </c>
    </row>
    <row r="15" spans="1:9" ht="20.100000000000001" customHeight="1">
      <c r="A15" s="521" t="s">
        <v>456</v>
      </c>
      <c r="B15" s="520" t="s">
        <v>455</v>
      </c>
      <c r="C15" s="171" t="s">
        <v>452</v>
      </c>
      <c r="D15" s="170">
        <v>86</v>
      </c>
      <c r="E15" s="170">
        <v>111</v>
      </c>
      <c r="F15" s="170">
        <v>148</v>
      </c>
      <c r="G15" s="170">
        <v>172</v>
      </c>
      <c r="H15" s="170">
        <v>212</v>
      </c>
    </row>
    <row r="16" spans="1:9" ht="20.100000000000001" customHeight="1">
      <c r="A16" s="521"/>
      <c r="B16" s="517"/>
      <c r="C16" s="173" t="s">
        <v>451</v>
      </c>
      <c r="D16" s="174">
        <f>SUM(D18,D20)</f>
        <v>100</v>
      </c>
      <c r="E16" s="174">
        <f>SUM(E18,E20)</f>
        <v>100</v>
      </c>
      <c r="F16" s="174">
        <f>SUM(F18,F20)</f>
        <v>100</v>
      </c>
      <c r="G16" s="174">
        <f>SUM(G18,G20)</f>
        <v>100</v>
      </c>
      <c r="H16" s="172">
        <f>SUM(H18,H20)</f>
        <v>99.999999999999986</v>
      </c>
    </row>
    <row r="17" spans="1:8" ht="20.100000000000001" customHeight="1">
      <c r="A17" s="521"/>
      <c r="B17" s="517" t="s">
        <v>454</v>
      </c>
      <c r="C17" s="171" t="s">
        <v>452</v>
      </c>
      <c r="D17" s="170">
        <v>69</v>
      </c>
      <c r="E17" s="170">
        <v>103</v>
      </c>
      <c r="F17" s="170">
        <v>137</v>
      </c>
      <c r="G17" s="170">
        <v>159</v>
      </c>
      <c r="H17" s="170">
        <v>207</v>
      </c>
    </row>
    <row r="18" spans="1:8" ht="20.100000000000001" customHeight="1">
      <c r="A18" s="521"/>
      <c r="B18" s="517"/>
      <c r="C18" s="173" t="s">
        <v>451</v>
      </c>
      <c r="D18" s="172">
        <f>IFERROR(D17/D$15*100,"-")</f>
        <v>80.232558139534888</v>
      </c>
      <c r="E18" s="172">
        <f>IFERROR(E17/E$15*100,"-")</f>
        <v>92.792792792792795</v>
      </c>
      <c r="F18" s="172">
        <f>IFERROR(F17/F$15*100,"-")</f>
        <v>92.567567567567565</v>
      </c>
      <c r="G18" s="172">
        <f>IFERROR(G17/G$15*100,"-")</f>
        <v>92.441860465116278</v>
      </c>
      <c r="H18" s="172">
        <f>IFERROR(H17/H$15*100,"-")</f>
        <v>97.641509433962256</v>
      </c>
    </row>
    <row r="19" spans="1:8" ht="20.100000000000001" customHeight="1">
      <c r="A19" s="521"/>
      <c r="B19" s="518" t="s">
        <v>453</v>
      </c>
      <c r="C19" s="171" t="s">
        <v>452</v>
      </c>
      <c r="D19" s="170">
        <v>17</v>
      </c>
      <c r="E19" s="170">
        <v>8</v>
      </c>
      <c r="F19" s="170">
        <v>11</v>
      </c>
      <c r="G19" s="170">
        <v>13</v>
      </c>
      <c r="H19" s="170">
        <v>5</v>
      </c>
    </row>
    <row r="20" spans="1:8" ht="20.100000000000001" customHeight="1">
      <c r="A20" s="522"/>
      <c r="B20" s="523"/>
      <c r="C20" s="169" t="s">
        <v>451</v>
      </c>
      <c r="D20" s="168">
        <f>IFERROR(D19/D$15*100,"-")</f>
        <v>19.767441860465116</v>
      </c>
      <c r="E20" s="168">
        <f>IFERROR(E19/E$15*100,"-")</f>
        <v>7.2072072072072073</v>
      </c>
      <c r="F20" s="168">
        <f>IFERROR(F19/F$15*100,"-")</f>
        <v>7.4324324324324325</v>
      </c>
      <c r="G20" s="168">
        <f>IFERROR(G19/G$15*100,"-")</f>
        <v>7.5581395348837201</v>
      </c>
      <c r="H20" s="168">
        <f>IFERROR(H19/H$15*100,"-")</f>
        <v>2.358490566037736</v>
      </c>
    </row>
    <row r="21" spans="1:8" s="163" customFormat="1" ht="14.25">
      <c r="A21" s="167" t="s">
        <v>450</v>
      </c>
      <c r="C21" s="166"/>
      <c r="D21" s="165"/>
    </row>
    <row r="22" spans="1:8" s="163" customFormat="1" ht="14.25">
      <c r="A22" s="163" t="s">
        <v>449</v>
      </c>
      <c r="C22" s="164"/>
    </row>
  </sheetData>
  <mergeCells count="14">
    <mergeCell ref="A9:A14"/>
    <mergeCell ref="B9:B10"/>
    <mergeCell ref="B11:B12"/>
    <mergeCell ref="B13:B14"/>
    <mergeCell ref="A15:A20"/>
    <mergeCell ref="B15:B16"/>
    <mergeCell ref="B17:B18"/>
    <mergeCell ref="B19:B20"/>
    <mergeCell ref="A1:H1"/>
    <mergeCell ref="B2:C2"/>
    <mergeCell ref="A3:A8"/>
    <mergeCell ref="B3:B4"/>
    <mergeCell ref="B5:B6"/>
    <mergeCell ref="B7:B8"/>
  </mergeCells>
  <phoneticPr fontId="2" type="noConversion"/>
  <hyperlinks>
    <hyperlink ref="I1" location="本篇表次!A1" display="回本篇表次"/>
  </hyperlinks>
  <pageMargins left="0.7" right="0.7" top="0.75" bottom="0.75"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R24"/>
  <sheetViews>
    <sheetView showGridLines="0" workbookViewId="0">
      <pane xSplit="2" ySplit="3" topLeftCell="C10" activePane="bottomRight" state="frozen"/>
      <selection sqref="A1:U1"/>
      <selection pane="topRight" sqref="A1:U1"/>
      <selection pane="bottomLeft" sqref="A1:U1"/>
      <selection pane="bottomRight" sqref="A1:U1"/>
    </sheetView>
  </sheetViews>
  <sheetFormatPr defaultColWidth="11.625" defaultRowHeight="16.5"/>
  <cols>
    <col min="1" max="1" width="21.375" style="283" customWidth="1"/>
    <col min="2" max="2" width="6.375" style="283" customWidth="1"/>
    <col min="3" max="17" width="11.625" style="283" customWidth="1"/>
    <col min="18" max="18" width="12.625" style="283" bestFit="1" customWidth="1"/>
    <col min="19" max="16384" width="11.625" style="283"/>
  </cols>
  <sheetData>
    <row r="1" spans="1:18" ht="26.1" customHeight="1">
      <c r="A1" s="524" t="s">
        <v>662</v>
      </c>
      <c r="B1" s="524"/>
      <c r="C1" s="524"/>
      <c r="D1" s="524"/>
      <c r="E1" s="524"/>
      <c r="F1" s="524"/>
      <c r="G1" s="524"/>
      <c r="H1" s="524"/>
      <c r="I1" s="524"/>
      <c r="J1" s="524"/>
      <c r="K1" s="524"/>
      <c r="L1" s="524"/>
      <c r="M1" s="524"/>
      <c r="N1" s="524"/>
      <c r="O1" s="524"/>
      <c r="P1" s="524"/>
      <c r="Q1" s="524"/>
      <c r="R1" s="348" t="s">
        <v>644</v>
      </c>
    </row>
    <row r="2" spans="1:18" ht="36" customHeight="1">
      <c r="A2" s="525"/>
      <c r="B2" s="525"/>
      <c r="C2" s="527" t="s">
        <v>461</v>
      </c>
      <c r="D2" s="527"/>
      <c r="E2" s="527"/>
      <c r="F2" s="527" t="s">
        <v>445</v>
      </c>
      <c r="G2" s="527"/>
      <c r="H2" s="527"/>
      <c r="I2" s="527" t="s">
        <v>214</v>
      </c>
      <c r="J2" s="527"/>
      <c r="K2" s="527"/>
      <c r="L2" s="527" t="s">
        <v>460</v>
      </c>
      <c r="M2" s="527"/>
      <c r="N2" s="527"/>
      <c r="O2" s="527" t="s">
        <v>58</v>
      </c>
      <c r="P2" s="527"/>
      <c r="Q2" s="527"/>
    </row>
    <row r="3" spans="1:18" ht="36" customHeight="1">
      <c r="A3" s="526"/>
      <c r="B3" s="526"/>
      <c r="C3" s="309" t="s">
        <v>475</v>
      </c>
      <c r="D3" s="310" t="s">
        <v>474</v>
      </c>
      <c r="E3" s="310" t="s">
        <v>473</v>
      </c>
      <c r="F3" s="309" t="s">
        <v>475</v>
      </c>
      <c r="G3" s="310" t="s">
        <v>474</v>
      </c>
      <c r="H3" s="310" t="s">
        <v>473</v>
      </c>
      <c r="I3" s="309" t="s">
        <v>475</v>
      </c>
      <c r="J3" s="310" t="s">
        <v>474</v>
      </c>
      <c r="K3" s="310" t="s">
        <v>473</v>
      </c>
      <c r="L3" s="309" t="s">
        <v>475</v>
      </c>
      <c r="M3" s="310" t="s">
        <v>474</v>
      </c>
      <c r="N3" s="310" t="s">
        <v>473</v>
      </c>
      <c r="O3" s="309" t="s">
        <v>475</v>
      </c>
      <c r="P3" s="310" t="s">
        <v>474</v>
      </c>
      <c r="Q3" s="310" t="s">
        <v>473</v>
      </c>
    </row>
    <row r="4" spans="1:18" ht="18.95" customHeight="1">
      <c r="A4" s="526" t="s">
        <v>472</v>
      </c>
      <c r="B4" s="312" t="s">
        <v>463</v>
      </c>
      <c r="C4" s="314">
        <f t="shared" ref="C4:Q4" si="0">SUM(C6,C8,C10,C12,C14,C16,C18,C20)</f>
        <v>2565</v>
      </c>
      <c r="D4" s="314">
        <f t="shared" si="0"/>
        <v>2263</v>
      </c>
      <c r="E4" s="314">
        <f t="shared" si="0"/>
        <v>302</v>
      </c>
      <c r="F4" s="314">
        <f t="shared" si="0"/>
        <v>2502</v>
      </c>
      <c r="G4" s="314">
        <f t="shared" si="0"/>
        <v>2236</v>
      </c>
      <c r="H4" s="314">
        <f t="shared" si="0"/>
        <v>266</v>
      </c>
      <c r="I4" s="314">
        <f t="shared" si="0"/>
        <v>2749</v>
      </c>
      <c r="J4" s="314">
        <f t="shared" si="0"/>
        <v>2496</v>
      </c>
      <c r="K4" s="314">
        <f t="shared" si="0"/>
        <v>253</v>
      </c>
      <c r="L4" s="314">
        <f t="shared" si="0"/>
        <v>2177</v>
      </c>
      <c r="M4" s="314">
        <f t="shared" si="0"/>
        <v>1965</v>
      </c>
      <c r="N4" s="314">
        <f t="shared" si="0"/>
        <v>212</v>
      </c>
      <c r="O4" s="314">
        <f t="shared" si="0"/>
        <v>2132</v>
      </c>
      <c r="P4" s="314">
        <f t="shared" si="0"/>
        <v>1944</v>
      </c>
      <c r="Q4" s="314">
        <f t="shared" si="0"/>
        <v>188</v>
      </c>
    </row>
    <row r="5" spans="1:18" ht="18.95" customHeight="1">
      <c r="A5" s="526"/>
      <c r="B5" s="315" t="s">
        <v>121</v>
      </c>
      <c r="C5" s="316">
        <f t="shared" ref="C5:Q5" si="1">SUM(C7,C9,C11,C13,C15,C17,C19,C21)</f>
        <v>100</v>
      </c>
      <c r="D5" s="316">
        <f t="shared" si="1"/>
        <v>100</v>
      </c>
      <c r="E5" s="316">
        <f t="shared" si="1"/>
        <v>100</v>
      </c>
      <c r="F5" s="316">
        <f t="shared" si="1"/>
        <v>100</v>
      </c>
      <c r="G5" s="316">
        <f t="shared" si="1"/>
        <v>100</v>
      </c>
      <c r="H5" s="316">
        <f t="shared" si="1"/>
        <v>99.999999999999986</v>
      </c>
      <c r="I5" s="316">
        <f t="shared" si="1"/>
        <v>100</v>
      </c>
      <c r="J5" s="316">
        <f t="shared" si="1"/>
        <v>100</v>
      </c>
      <c r="K5" s="316">
        <f t="shared" si="1"/>
        <v>100</v>
      </c>
      <c r="L5" s="316">
        <f t="shared" si="1"/>
        <v>100</v>
      </c>
      <c r="M5" s="316">
        <f t="shared" si="1"/>
        <v>100</v>
      </c>
      <c r="N5" s="316">
        <f t="shared" si="1"/>
        <v>100</v>
      </c>
      <c r="O5" s="316">
        <f t="shared" si="1"/>
        <v>99.999999999999986</v>
      </c>
      <c r="P5" s="316">
        <f t="shared" si="1"/>
        <v>100</v>
      </c>
      <c r="Q5" s="316">
        <f t="shared" si="1"/>
        <v>99.999999999999986</v>
      </c>
    </row>
    <row r="6" spans="1:18" ht="18.95" customHeight="1">
      <c r="A6" s="526" t="s">
        <v>471</v>
      </c>
      <c r="B6" s="312" t="s">
        <v>463</v>
      </c>
      <c r="C6" s="313">
        <v>11</v>
      </c>
      <c r="D6" s="313">
        <v>10</v>
      </c>
      <c r="E6" s="313">
        <v>1</v>
      </c>
      <c r="F6" s="313">
        <v>4</v>
      </c>
      <c r="G6" s="313">
        <v>4</v>
      </c>
      <c r="H6" s="313">
        <v>0</v>
      </c>
      <c r="I6" s="313">
        <v>2</v>
      </c>
      <c r="J6" s="313">
        <v>1</v>
      </c>
      <c r="K6" s="313">
        <v>1</v>
      </c>
      <c r="L6" s="313" t="s">
        <v>280</v>
      </c>
      <c r="M6" s="313">
        <v>0</v>
      </c>
      <c r="N6" s="313">
        <v>0</v>
      </c>
      <c r="O6" s="313" t="s">
        <v>77</v>
      </c>
      <c r="P6" s="313" t="s">
        <v>77</v>
      </c>
      <c r="Q6" s="313" t="s">
        <v>77</v>
      </c>
    </row>
    <row r="7" spans="1:18" ht="18.95" customHeight="1">
      <c r="A7" s="526"/>
      <c r="B7" s="315" t="s">
        <v>121</v>
      </c>
      <c r="C7" s="316">
        <f t="shared" ref="C7:Q7" si="2">IFERROR(IF(C6=0,"-",C6/C$4*100),"-")</f>
        <v>0.42884990253411304</v>
      </c>
      <c r="D7" s="316">
        <f t="shared" si="2"/>
        <v>0.44189129474149363</v>
      </c>
      <c r="E7" s="316">
        <f t="shared" si="2"/>
        <v>0.33112582781456956</v>
      </c>
      <c r="F7" s="316">
        <f t="shared" si="2"/>
        <v>0.15987210231814547</v>
      </c>
      <c r="G7" s="316">
        <f t="shared" si="2"/>
        <v>0.17889087656529518</v>
      </c>
      <c r="H7" s="316" t="str">
        <f t="shared" si="2"/>
        <v>-</v>
      </c>
      <c r="I7" s="316">
        <f t="shared" si="2"/>
        <v>7.275372862859221E-2</v>
      </c>
      <c r="J7" s="316">
        <f t="shared" si="2"/>
        <v>4.0064102564102561E-2</v>
      </c>
      <c r="K7" s="316">
        <f t="shared" si="2"/>
        <v>0.39525691699604742</v>
      </c>
      <c r="L7" s="316" t="str">
        <f t="shared" si="2"/>
        <v>-</v>
      </c>
      <c r="M7" s="316" t="str">
        <f t="shared" si="2"/>
        <v>-</v>
      </c>
      <c r="N7" s="316" t="str">
        <f t="shared" si="2"/>
        <v>-</v>
      </c>
      <c r="O7" s="316" t="str">
        <f t="shared" si="2"/>
        <v>-</v>
      </c>
      <c r="P7" s="316" t="str">
        <f t="shared" si="2"/>
        <v>-</v>
      </c>
      <c r="Q7" s="316" t="str">
        <f t="shared" si="2"/>
        <v>-</v>
      </c>
    </row>
    <row r="8" spans="1:18" ht="18.95" customHeight="1">
      <c r="A8" s="526" t="s">
        <v>470</v>
      </c>
      <c r="B8" s="312" t="s">
        <v>463</v>
      </c>
      <c r="C8" s="313">
        <v>27</v>
      </c>
      <c r="D8" s="313">
        <v>26</v>
      </c>
      <c r="E8" s="313">
        <v>1</v>
      </c>
      <c r="F8" s="313">
        <v>27</v>
      </c>
      <c r="G8" s="313">
        <v>22</v>
      </c>
      <c r="H8" s="313">
        <v>5</v>
      </c>
      <c r="I8" s="313">
        <v>28</v>
      </c>
      <c r="J8" s="313">
        <v>24</v>
      </c>
      <c r="K8" s="313">
        <v>4</v>
      </c>
      <c r="L8" s="313">
        <v>13</v>
      </c>
      <c r="M8" s="313">
        <v>10</v>
      </c>
      <c r="N8" s="313">
        <v>3</v>
      </c>
      <c r="O8" s="313">
        <v>10</v>
      </c>
      <c r="P8" s="313">
        <v>8</v>
      </c>
      <c r="Q8" s="313">
        <v>2</v>
      </c>
    </row>
    <row r="9" spans="1:18" ht="18.95" customHeight="1">
      <c r="A9" s="526"/>
      <c r="B9" s="315" t="s">
        <v>121</v>
      </c>
      <c r="C9" s="316">
        <f t="shared" ref="C9:Q9" si="3">IFERROR(IF(C8=0,"-",C8/C$4*100),"-")</f>
        <v>1.0526315789473684</v>
      </c>
      <c r="D9" s="316">
        <f t="shared" si="3"/>
        <v>1.1489173663278833</v>
      </c>
      <c r="E9" s="316">
        <f t="shared" si="3"/>
        <v>0.33112582781456956</v>
      </c>
      <c r="F9" s="316">
        <f t="shared" si="3"/>
        <v>1.079136690647482</v>
      </c>
      <c r="G9" s="316">
        <f t="shared" si="3"/>
        <v>0.98389982110912344</v>
      </c>
      <c r="H9" s="316">
        <f t="shared" si="3"/>
        <v>1.8796992481203008</v>
      </c>
      <c r="I9" s="316">
        <f t="shared" si="3"/>
        <v>1.018552200800291</v>
      </c>
      <c r="J9" s="316">
        <f t="shared" si="3"/>
        <v>0.96153846153846156</v>
      </c>
      <c r="K9" s="316">
        <f t="shared" si="3"/>
        <v>1.5810276679841897</v>
      </c>
      <c r="L9" s="316">
        <f t="shared" si="3"/>
        <v>0.59715204409738176</v>
      </c>
      <c r="M9" s="316">
        <f t="shared" si="3"/>
        <v>0.5089058524173028</v>
      </c>
      <c r="N9" s="316">
        <f t="shared" si="3"/>
        <v>1.4150943396226416</v>
      </c>
      <c r="O9" s="316">
        <f t="shared" si="3"/>
        <v>0.46904315196998125</v>
      </c>
      <c r="P9" s="316">
        <f t="shared" si="3"/>
        <v>0.41152263374485598</v>
      </c>
      <c r="Q9" s="316">
        <f t="shared" si="3"/>
        <v>1.0638297872340425</v>
      </c>
    </row>
    <row r="10" spans="1:18" ht="18.95" customHeight="1">
      <c r="A10" s="526" t="s">
        <v>469</v>
      </c>
      <c r="B10" s="312" t="s">
        <v>463</v>
      </c>
      <c r="C10" s="313">
        <v>100</v>
      </c>
      <c r="D10" s="313">
        <v>84</v>
      </c>
      <c r="E10" s="313">
        <v>16</v>
      </c>
      <c r="F10" s="313">
        <v>103</v>
      </c>
      <c r="G10" s="313">
        <v>85</v>
      </c>
      <c r="H10" s="313">
        <v>18</v>
      </c>
      <c r="I10" s="313">
        <v>116</v>
      </c>
      <c r="J10" s="313">
        <v>95</v>
      </c>
      <c r="K10" s="313">
        <v>21</v>
      </c>
      <c r="L10" s="313">
        <v>69</v>
      </c>
      <c r="M10" s="313">
        <v>61</v>
      </c>
      <c r="N10" s="313">
        <v>8</v>
      </c>
      <c r="O10" s="313">
        <v>65</v>
      </c>
      <c r="P10" s="313">
        <v>46</v>
      </c>
      <c r="Q10" s="313">
        <v>19</v>
      </c>
    </row>
    <row r="11" spans="1:18" ht="18.95" customHeight="1">
      <c r="A11" s="526"/>
      <c r="B11" s="315" t="s">
        <v>121</v>
      </c>
      <c r="C11" s="316">
        <f t="shared" ref="C11:Q11" si="4">IFERROR(IF(C10=0,"-",C10/C$4*100),"-")</f>
        <v>3.8986354775828458</v>
      </c>
      <c r="D11" s="316">
        <f t="shared" si="4"/>
        <v>3.7118868758285464</v>
      </c>
      <c r="E11" s="316">
        <f t="shared" si="4"/>
        <v>5.298013245033113</v>
      </c>
      <c r="F11" s="316">
        <f t="shared" si="4"/>
        <v>4.1167066346922461</v>
      </c>
      <c r="G11" s="316">
        <f t="shared" si="4"/>
        <v>3.8014311270125223</v>
      </c>
      <c r="H11" s="316">
        <f t="shared" si="4"/>
        <v>6.7669172932330826</v>
      </c>
      <c r="I11" s="316">
        <f t="shared" si="4"/>
        <v>4.2197162604583482</v>
      </c>
      <c r="J11" s="316">
        <f t="shared" si="4"/>
        <v>3.8060897435897432</v>
      </c>
      <c r="K11" s="316">
        <f t="shared" si="4"/>
        <v>8.3003952569169961</v>
      </c>
      <c r="L11" s="316">
        <f t="shared" si="4"/>
        <v>3.1694993109784102</v>
      </c>
      <c r="M11" s="316">
        <f t="shared" si="4"/>
        <v>3.1043256997455471</v>
      </c>
      <c r="N11" s="316">
        <f t="shared" si="4"/>
        <v>3.7735849056603774</v>
      </c>
      <c r="O11" s="316">
        <f t="shared" si="4"/>
        <v>3.0487804878048781</v>
      </c>
      <c r="P11" s="316">
        <f t="shared" si="4"/>
        <v>2.3662551440329218</v>
      </c>
      <c r="Q11" s="316">
        <f t="shared" si="4"/>
        <v>10.106382978723403</v>
      </c>
    </row>
    <row r="12" spans="1:18" ht="18.95" customHeight="1">
      <c r="A12" s="526" t="s">
        <v>468</v>
      </c>
      <c r="B12" s="312" t="s">
        <v>463</v>
      </c>
      <c r="C12" s="313">
        <v>263</v>
      </c>
      <c r="D12" s="313">
        <v>210</v>
      </c>
      <c r="E12" s="313">
        <v>53</v>
      </c>
      <c r="F12" s="313">
        <v>290</v>
      </c>
      <c r="G12" s="313">
        <v>240</v>
      </c>
      <c r="H12" s="313">
        <v>50</v>
      </c>
      <c r="I12" s="313">
        <v>318</v>
      </c>
      <c r="J12" s="313">
        <v>262</v>
      </c>
      <c r="K12" s="313">
        <v>56</v>
      </c>
      <c r="L12" s="313">
        <v>207</v>
      </c>
      <c r="M12" s="313">
        <v>177</v>
      </c>
      <c r="N12" s="313">
        <v>30</v>
      </c>
      <c r="O12" s="313">
        <v>221</v>
      </c>
      <c r="P12" s="313">
        <v>185</v>
      </c>
      <c r="Q12" s="313">
        <v>36</v>
      </c>
    </row>
    <row r="13" spans="1:18" ht="18.95" customHeight="1">
      <c r="A13" s="526"/>
      <c r="B13" s="315" t="s">
        <v>121</v>
      </c>
      <c r="C13" s="316">
        <f t="shared" ref="C13:Q13" si="5">IFERROR(IF(C12=0,"-",C12/C$4*100),"-")</f>
        <v>10.253411306042885</v>
      </c>
      <c r="D13" s="316">
        <f t="shared" si="5"/>
        <v>9.2797171895713646</v>
      </c>
      <c r="E13" s="316">
        <f t="shared" si="5"/>
        <v>17.549668874172188</v>
      </c>
      <c r="F13" s="316">
        <f t="shared" si="5"/>
        <v>11.590727418065548</v>
      </c>
      <c r="G13" s="316">
        <f t="shared" si="5"/>
        <v>10.733452593917709</v>
      </c>
      <c r="H13" s="316">
        <f t="shared" si="5"/>
        <v>18.796992481203006</v>
      </c>
      <c r="I13" s="316">
        <f t="shared" si="5"/>
        <v>11.567842851946162</v>
      </c>
      <c r="J13" s="316">
        <f t="shared" si="5"/>
        <v>10.496794871794872</v>
      </c>
      <c r="K13" s="316">
        <f t="shared" si="5"/>
        <v>22.134387351778656</v>
      </c>
      <c r="L13" s="316">
        <f t="shared" si="5"/>
        <v>9.5084979329352315</v>
      </c>
      <c r="M13" s="316">
        <f t="shared" si="5"/>
        <v>9.007633587786259</v>
      </c>
      <c r="N13" s="316">
        <f t="shared" si="5"/>
        <v>14.150943396226415</v>
      </c>
      <c r="O13" s="316">
        <f t="shared" si="5"/>
        <v>10.365853658536585</v>
      </c>
      <c r="P13" s="316">
        <f t="shared" si="5"/>
        <v>9.5164609053497937</v>
      </c>
      <c r="Q13" s="316">
        <f t="shared" si="5"/>
        <v>19.148936170212767</v>
      </c>
    </row>
    <row r="14" spans="1:18" ht="18.95" customHeight="1">
      <c r="A14" s="526" t="s">
        <v>467</v>
      </c>
      <c r="B14" s="312" t="s">
        <v>463</v>
      </c>
      <c r="C14" s="313">
        <v>360</v>
      </c>
      <c r="D14" s="313">
        <v>301</v>
      </c>
      <c r="E14" s="313">
        <v>59</v>
      </c>
      <c r="F14" s="313">
        <v>402</v>
      </c>
      <c r="G14" s="313">
        <v>353</v>
      </c>
      <c r="H14" s="313">
        <v>49</v>
      </c>
      <c r="I14" s="313">
        <v>396</v>
      </c>
      <c r="J14" s="313">
        <v>363</v>
      </c>
      <c r="K14" s="313">
        <v>33</v>
      </c>
      <c r="L14" s="313">
        <v>363</v>
      </c>
      <c r="M14" s="313">
        <v>302</v>
      </c>
      <c r="N14" s="313">
        <v>61</v>
      </c>
      <c r="O14" s="313">
        <v>345</v>
      </c>
      <c r="P14" s="313">
        <v>315</v>
      </c>
      <c r="Q14" s="313">
        <v>30</v>
      </c>
    </row>
    <row r="15" spans="1:18" ht="18.95" customHeight="1">
      <c r="A15" s="526"/>
      <c r="B15" s="315" t="s">
        <v>121</v>
      </c>
      <c r="C15" s="316">
        <f t="shared" ref="C15:Q15" si="6">IFERROR(IF(C14=0,"-",C14/C$4*100),"-")</f>
        <v>14.035087719298245</v>
      </c>
      <c r="D15" s="316">
        <f t="shared" si="6"/>
        <v>13.300927971718956</v>
      </c>
      <c r="E15" s="316">
        <f t="shared" si="6"/>
        <v>19.536423841059602</v>
      </c>
      <c r="F15" s="316">
        <f t="shared" si="6"/>
        <v>16.067146282973621</v>
      </c>
      <c r="G15" s="316">
        <f t="shared" si="6"/>
        <v>15.787119856887299</v>
      </c>
      <c r="H15" s="316">
        <f t="shared" si="6"/>
        <v>18.421052631578945</v>
      </c>
      <c r="I15" s="316">
        <f t="shared" si="6"/>
        <v>14.405238268461259</v>
      </c>
      <c r="J15" s="316">
        <f t="shared" si="6"/>
        <v>14.543269230769232</v>
      </c>
      <c r="K15" s="316">
        <f t="shared" si="6"/>
        <v>13.043478260869565</v>
      </c>
      <c r="L15" s="316">
        <f t="shared" si="6"/>
        <v>16.674322462103813</v>
      </c>
      <c r="M15" s="316">
        <f t="shared" si="6"/>
        <v>15.368956743002546</v>
      </c>
      <c r="N15" s="316">
        <f t="shared" si="6"/>
        <v>28.773584905660378</v>
      </c>
      <c r="O15" s="316">
        <f t="shared" si="6"/>
        <v>16.181988742964354</v>
      </c>
      <c r="P15" s="316">
        <f t="shared" si="6"/>
        <v>16.203703703703702</v>
      </c>
      <c r="Q15" s="316">
        <f t="shared" si="6"/>
        <v>15.957446808510639</v>
      </c>
    </row>
    <row r="16" spans="1:18" ht="18.95" customHeight="1">
      <c r="A16" s="526" t="s">
        <v>466</v>
      </c>
      <c r="B16" s="312" t="s">
        <v>463</v>
      </c>
      <c r="C16" s="313">
        <v>545</v>
      </c>
      <c r="D16" s="313">
        <v>499</v>
      </c>
      <c r="E16" s="313">
        <v>46</v>
      </c>
      <c r="F16" s="313">
        <v>542</v>
      </c>
      <c r="G16" s="313">
        <v>498</v>
      </c>
      <c r="H16" s="313">
        <v>44</v>
      </c>
      <c r="I16" s="313">
        <v>642</v>
      </c>
      <c r="J16" s="313">
        <v>579</v>
      </c>
      <c r="K16" s="313">
        <v>63</v>
      </c>
      <c r="L16" s="313">
        <v>511</v>
      </c>
      <c r="M16" s="313">
        <v>467</v>
      </c>
      <c r="N16" s="313">
        <v>44</v>
      </c>
      <c r="O16" s="313">
        <v>467</v>
      </c>
      <c r="P16" s="313">
        <v>425</v>
      </c>
      <c r="Q16" s="313">
        <v>42</v>
      </c>
    </row>
    <row r="17" spans="1:17" ht="18.95" customHeight="1">
      <c r="A17" s="526"/>
      <c r="B17" s="315" t="s">
        <v>121</v>
      </c>
      <c r="C17" s="316">
        <f t="shared" ref="C17:Q17" si="7">IFERROR(IF(C16=0,"-",C16/C$4*100),"-")</f>
        <v>21.247563352826511</v>
      </c>
      <c r="D17" s="316">
        <f t="shared" si="7"/>
        <v>22.050375607600532</v>
      </c>
      <c r="E17" s="316">
        <f t="shared" si="7"/>
        <v>15.231788079470199</v>
      </c>
      <c r="F17" s="316">
        <f t="shared" si="7"/>
        <v>21.662669864108715</v>
      </c>
      <c r="G17" s="316">
        <f t="shared" si="7"/>
        <v>22.271914132379248</v>
      </c>
      <c r="H17" s="316">
        <f t="shared" si="7"/>
        <v>16.541353383458645</v>
      </c>
      <c r="I17" s="316">
        <f t="shared" si="7"/>
        <v>23.353946889778101</v>
      </c>
      <c r="J17" s="316">
        <f t="shared" si="7"/>
        <v>23.197115384615387</v>
      </c>
      <c r="K17" s="316">
        <f t="shared" si="7"/>
        <v>24.901185770750988</v>
      </c>
      <c r="L17" s="316">
        <f t="shared" si="7"/>
        <v>23.472668810289392</v>
      </c>
      <c r="M17" s="316">
        <f t="shared" si="7"/>
        <v>23.765903307888038</v>
      </c>
      <c r="N17" s="316">
        <f t="shared" si="7"/>
        <v>20.754716981132077</v>
      </c>
      <c r="O17" s="316">
        <f t="shared" si="7"/>
        <v>21.904315196998123</v>
      </c>
      <c r="P17" s="316">
        <f t="shared" si="7"/>
        <v>21.862139917695472</v>
      </c>
      <c r="Q17" s="316">
        <f t="shared" si="7"/>
        <v>22.340425531914892</v>
      </c>
    </row>
    <row r="18" spans="1:17" ht="18.95" customHeight="1">
      <c r="A18" s="526" t="s">
        <v>465</v>
      </c>
      <c r="B18" s="312" t="s">
        <v>463</v>
      </c>
      <c r="C18" s="313">
        <v>830</v>
      </c>
      <c r="D18" s="313">
        <v>751</v>
      </c>
      <c r="E18" s="313">
        <v>79</v>
      </c>
      <c r="F18" s="313">
        <v>716</v>
      </c>
      <c r="G18" s="313">
        <v>657</v>
      </c>
      <c r="H18" s="313">
        <v>59</v>
      </c>
      <c r="I18" s="313">
        <v>817</v>
      </c>
      <c r="J18" s="313">
        <v>768</v>
      </c>
      <c r="K18" s="313">
        <v>49</v>
      </c>
      <c r="L18" s="313">
        <v>669</v>
      </c>
      <c r="M18" s="313">
        <v>624</v>
      </c>
      <c r="N18" s="313">
        <v>45</v>
      </c>
      <c r="O18" s="313">
        <v>613</v>
      </c>
      <c r="P18" s="313">
        <v>579</v>
      </c>
      <c r="Q18" s="313">
        <v>34</v>
      </c>
    </row>
    <row r="19" spans="1:17" ht="18.95" customHeight="1">
      <c r="A19" s="526"/>
      <c r="B19" s="315" t="s">
        <v>121</v>
      </c>
      <c r="C19" s="316">
        <f t="shared" ref="C19:Q19" si="8">IFERROR(IF(C18=0,"-",C18/C$4*100),"-")</f>
        <v>32.358674463937618</v>
      </c>
      <c r="D19" s="316">
        <f t="shared" si="8"/>
        <v>33.186036235086171</v>
      </c>
      <c r="E19" s="316">
        <f t="shared" si="8"/>
        <v>26.158940397350992</v>
      </c>
      <c r="F19" s="316">
        <f t="shared" si="8"/>
        <v>28.617106314948042</v>
      </c>
      <c r="G19" s="316">
        <f t="shared" si="8"/>
        <v>29.382826475849733</v>
      </c>
      <c r="H19" s="316">
        <f t="shared" si="8"/>
        <v>22.180451127819548</v>
      </c>
      <c r="I19" s="316">
        <f t="shared" si="8"/>
        <v>29.719898144779922</v>
      </c>
      <c r="J19" s="316">
        <f t="shared" si="8"/>
        <v>30.76923076923077</v>
      </c>
      <c r="K19" s="316">
        <f t="shared" si="8"/>
        <v>19.367588932806324</v>
      </c>
      <c r="L19" s="316">
        <f t="shared" si="8"/>
        <v>30.730362884703723</v>
      </c>
      <c r="M19" s="316">
        <f t="shared" si="8"/>
        <v>31.755725190839694</v>
      </c>
      <c r="N19" s="316">
        <f t="shared" si="8"/>
        <v>21.226415094339622</v>
      </c>
      <c r="O19" s="316">
        <f t="shared" si="8"/>
        <v>28.752345215759849</v>
      </c>
      <c r="P19" s="316">
        <f t="shared" si="8"/>
        <v>29.783950617283949</v>
      </c>
      <c r="Q19" s="316">
        <f t="shared" si="8"/>
        <v>18.085106382978726</v>
      </c>
    </row>
    <row r="20" spans="1:17" ht="18.95" customHeight="1">
      <c r="A20" s="526" t="s">
        <v>464</v>
      </c>
      <c r="B20" s="312" t="s">
        <v>463</v>
      </c>
      <c r="C20" s="313">
        <v>429</v>
      </c>
      <c r="D20" s="313">
        <v>382</v>
      </c>
      <c r="E20" s="313">
        <v>47</v>
      </c>
      <c r="F20" s="313">
        <v>418</v>
      </c>
      <c r="G20" s="313">
        <v>377</v>
      </c>
      <c r="H20" s="313">
        <v>41</v>
      </c>
      <c r="I20" s="313">
        <v>430</v>
      </c>
      <c r="J20" s="313">
        <v>404</v>
      </c>
      <c r="K20" s="313">
        <v>26</v>
      </c>
      <c r="L20" s="313">
        <v>345</v>
      </c>
      <c r="M20" s="313">
        <v>324</v>
      </c>
      <c r="N20" s="313">
        <v>21</v>
      </c>
      <c r="O20" s="313">
        <v>411</v>
      </c>
      <c r="P20" s="313">
        <v>386</v>
      </c>
      <c r="Q20" s="313">
        <v>25</v>
      </c>
    </row>
    <row r="21" spans="1:17" ht="18.95" customHeight="1">
      <c r="A21" s="528"/>
      <c r="B21" s="319" t="s">
        <v>121</v>
      </c>
      <c r="C21" s="320">
        <f t="shared" ref="C21:Q21" si="9">IFERROR(IF(C20=0,"-",C20/C$4*100),"-")</f>
        <v>16.725146198830409</v>
      </c>
      <c r="D21" s="320">
        <f t="shared" si="9"/>
        <v>16.880247459125055</v>
      </c>
      <c r="E21" s="320">
        <f t="shared" si="9"/>
        <v>15.562913907284766</v>
      </c>
      <c r="F21" s="320">
        <f t="shared" si="9"/>
        <v>16.706634692246205</v>
      </c>
      <c r="G21" s="320">
        <f t="shared" si="9"/>
        <v>16.86046511627907</v>
      </c>
      <c r="H21" s="320">
        <f t="shared" si="9"/>
        <v>15.413533834586465</v>
      </c>
      <c r="I21" s="320">
        <f t="shared" si="9"/>
        <v>15.642051655147327</v>
      </c>
      <c r="J21" s="320">
        <f t="shared" si="9"/>
        <v>16.185897435897438</v>
      </c>
      <c r="K21" s="320">
        <f t="shared" si="9"/>
        <v>10.276679841897234</v>
      </c>
      <c r="L21" s="320">
        <f t="shared" si="9"/>
        <v>15.847496554892054</v>
      </c>
      <c r="M21" s="320">
        <f t="shared" si="9"/>
        <v>16.488549618320612</v>
      </c>
      <c r="N21" s="320">
        <f t="shared" si="9"/>
        <v>9.9056603773584904</v>
      </c>
      <c r="O21" s="320">
        <f t="shared" si="9"/>
        <v>19.277673545966227</v>
      </c>
      <c r="P21" s="320">
        <f t="shared" si="9"/>
        <v>19.855967078189302</v>
      </c>
      <c r="Q21" s="320">
        <f t="shared" si="9"/>
        <v>13.297872340425531</v>
      </c>
    </row>
    <row r="22" spans="1:17" ht="18" customHeight="1">
      <c r="A22" s="328" t="s">
        <v>462</v>
      </c>
      <c r="B22" s="322"/>
      <c r="C22" s="323"/>
      <c r="D22" s="323"/>
      <c r="E22" s="323"/>
      <c r="F22" s="323"/>
      <c r="G22" s="323"/>
      <c r="H22" s="323"/>
      <c r="I22" s="322"/>
      <c r="J22" s="322"/>
      <c r="K22" s="322"/>
      <c r="L22" s="322"/>
      <c r="M22" s="322"/>
      <c r="N22" s="322"/>
      <c r="O22" s="322"/>
      <c r="P22" s="322"/>
      <c r="Q22" s="322"/>
    </row>
    <row r="23" spans="1:17" ht="14.1" customHeight="1">
      <c r="A23" s="329" t="s">
        <v>449</v>
      </c>
      <c r="B23" s="322"/>
      <c r="C23" s="322"/>
      <c r="D23" s="322"/>
      <c r="E23" s="322"/>
      <c r="F23" s="324"/>
      <c r="G23" s="330"/>
      <c r="H23" s="322"/>
      <c r="I23" s="322"/>
      <c r="J23" s="322"/>
      <c r="K23" s="322"/>
      <c r="L23" s="322"/>
      <c r="M23" s="322"/>
      <c r="N23" s="322"/>
      <c r="O23" s="322"/>
      <c r="P23" s="322"/>
      <c r="Q23" s="322"/>
    </row>
    <row r="24" spans="1:17">
      <c r="A24" s="326"/>
      <c r="B24" s="326"/>
      <c r="C24" s="331"/>
      <c r="D24" s="331"/>
      <c r="E24" s="331"/>
      <c r="F24" s="331"/>
      <c r="G24" s="331"/>
      <c r="H24" s="331"/>
      <c r="I24" s="326"/>
      <c r="J24" s="326"/>
      <c r="K24" s="326"/>
      <c r="L24" s="326"/>
      <c r="M24" s="326"/>
      <c r="N24" s="326"/>
      <c r="O24" s="326"/>
      <c r="P24" s="326"/>
      <c r="Q24" s="326"/>
    </row>
  </sheetData>
  <mergeCells count="16">
    <mergeCell ref="A16:A17"/>
    <mergeCell ref="A18:A19"/>
    <mergeCell ref="A20:A21"/>
    <mergeCell ref="A4:A5"/>
    <mergeCell ref="A6:A7"/>
    <mergeCell ref="A8:A9"/>
    <mergeCell ref="A10:A11"/>
    <mergeCell ref="A12:A13"/>
    <mergeCell ref="A14:A15"/>
    <mergeCell ref="A1:Q1"/>
    <mergeCell ref="A2:B3"/>
    <mergeCell ref="C2:E2"/>
    <mergeCell ref="F2:H2"/>
    <mergeCell ref="I2:K2"/>
    <mergeCell ref="L2:N2"/>
    <mergeCell ref="O2:Q2"/>
  </mergeCells>
  <phoneticPr fontId="2" type="noConversion"/>
  <hyperlinks>
    <hyperlink ref="R1" location="本篇表次!A1" display="回本篇表次"/>
  </hyperlinks>
  <pageMargins left="0.7" right="0.7" top="0.75" bottom="0.75"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R20"/>
  <sheetViews>
    <sheetView showGridLines="0" workbookViewId="0">
      <selection sqref="A1:U1"/>
    </sheetView>
  </sheetViews>
  <sheetFormatPr defaultColWidth="8.625" defaultRowHeight="16.5"/>
  <cols>
    <col min="1" max="1" width="14.375" style="283" customWidth="1"/>
    <col min="2" max="2" width="6.375" style="283" customWidth="1"/>
    <col min="3" max="17" width="8.625" style="283"/>
    <col min="18" max="18" width="12.625" style="283" bestFit="1" customWidth="1"/>
    <col min="19" max="16384" width="8.625" style="283"/>
  </cols>
  <sheetData>
    <row r="1" spans="1:18" ht="26.1" customHeight="1">
      <c r="A1" s="529" t="s">
        <v>663</v>
      </c>
      <c r="B1" s="529"/>
      <c r="C1" s="529"/>
      <c r="D1" s="529"/>
      <c r="E1" s="529"/>
      <c r="F1" s="529"/>
      <c r="G1" s="529"/>
      <c r="H1" s="529"/>
      <c r="I1" s="529"/>
      <c r="J1" s="529"/>
      <c r="K1" s="529"/>
      <c r="L1" s="529"/>
      <c r="M1" s="529"/>
      <c r="N1" s="529"/>
      <c r="O1" s="529"/>
      <c r="P1" s="529"/>
      <c r="Q1" s="529"/>
      <c r="R1" s="348" t="s">
        <v>644</v>
      </c>
    </row>
    <row r="2" spans="1:18" ht="26.1" customHeight="1">
      <c r="A2" s="530"/>
      <c r="B2" s="530"/>
      <c r="C2" s="532" t="s">
        <v>461</v>
      </c>
      <c r="D2" s="532"/>
      <c r="E2" s="532"/>
      <c r="F2" s="532" t="s">
        <v>445</v>
      </c>
      <c r="G2" s="532"/>
      <c r="H2" s="532"/>
      <c r="I2" s="532" t="s">
        <v>214</v>
      </c>
      <c r="J2" s="532"/>
      <c r="K2" s="532"/>
      <c r="L2" s="532" t="s">
        <v>460</v>
      </c>
      <c r="M2" s="532"/>
      <c r="N2" s="532"/>
      <c r="O2" s="532" t="s">
        <v>58</v>
      </c>
      <c r="P2" s="532"/>
      <c r="Q2" s="532"/>
    </row>
    <row r="3" spans="1:18" ht="26.1" customHeight="1">
      <c r="A3" s="531"/>
      <c r="B3" s="531"/>
      <c r="C3" s="309" t="s">
        <v>475</v>
      </c>
      <c r="D3" s="310" t="s">
        <v>474</v>
      </c>
      <c r="E3" s="310" t="s">
        <v>473</v>
      </c>
      <c r="F3" s="309" t="s">
        <v>475</v>
      </c>
      <c r="G3" s="310" t="s">
        <v>474</v>
      </c>
      <c r="H3" s="310" t="s">
        <v>473</v>
      </c>
      <c r="I3" s="309" t="s">
        <v>475</v>
      </c>
      <c r="J3" s="310" t="s">
        <v>474</v>
      </c>
      <c r="K3" s="310" t="s">
        <v>473</v>
      </c>
      <c r="L3" s="309" t="s">
        <v>475</v>
      </c>
      <c r="M3" s="310" t="s">
        <v>474</v>
      </c>
      <c r="N3" s="310" t="s">
        <v>473</v>
      </c>
      <c r="O3" s="309" t="s">
        <v>475</v>
      </c>
      <c r="P3" s="310" t="s">
        <v>474</v>
      </c>
      <c r="Q3" s="310" t="s">
        <v>473</v>
      </c>
    </row>
    <row r="4" spans="1:18" ht="26.1" customHeight="1">
      <c r="A4" s="526" t="s">
        <v>482</v>
      </c>
      <c r="B4" s="312" t="s">
        <v>463</v>
      </c>
      <c r="C4" s="313">
        <v>2565</v>
      </c>
      <c r="D4" s="313">
        <v>2263</v>
      </c>
      <c r="E4" s="313">
        <v>302</v>
      </c>
      <c r="F4" s="313">
        <v>2502</v>
      </c>
      <c r="G4" s="313">
        <v>2236</v>
      </c>
      <c r="H4" s="313">
        <v>266</v>
      </c>
      <c r="I4" s="313">
        <v>2749</v>
      </c>
      <c r="J4" s="313">
        <v>2496</v>
      </c>
      <c r="K4" s="313">
        <v>253</v>
      </c>
      <c r="L4" s="313">
        <v>2177</v>
      </c>
      <c r="M4" s="313">
        <v>1965</v>
      </c>
      <c r="N4" s="314">
        <v>212</v>
      </c>
      <c r="O4" s="314">
        <v>2132</v>
      </c>
      <c r="P4" s="314">
        <v>1944</v>
      </c>
      <c r="Q4" s="314">
        <v>188</v>
      </c>
    </row>
    <row r="5" spans="1:18" ht="26.1" customHeight="1">
      <c r="A5" s="526"/>
      <c r="B5" s="315" t="s">
        <v>121</v>
      </c>
      <c r="C5" s="316">
        <v>100</v>
      </c>
      <c r="D5" s="316">
        <v>99.999999999999986</v>
      </c>
      <c r="E5" s="316">
        <v>99.999999999999986</v>
      </c>
      <c r="F5" s="316">
        <v>100</v>
      </c>
      <c r="G5" s="316">
        <v>99.999999999999986</v>
      </c>
      <c r="H5" s="316">
        <v>100</v>
      </c>
      <c r="I5" s="316">
        <v>99.999999999999986</v>
      </c>
      <c r="J5" s="316">
        <v>99.999999999999986</v>
      </c>
      <c r="K5" s="316">
        <v>100</v>
      </c>
      <c r="L5" s="316">
        <v>99.999999999999986</v>
      </c>
      <c r="M5" s="316">
        <v>100</v>
      </c>
      <c r="N5" s="316">
        <v>100</v>
      </c>
      <c r="O5" s="316">
        <v>99.999999999999986</v>
      </c>
      <c r="P5" s="316">
        <v>99.999999999999986</v>
      </c>
      <c r="Q5" s="316">
        <v>100</v>
      </c>
    </row>
    <row r="6" spans="1:18" ht="26.1" customHeight="1">
      <c r="A6" s="526" t="s">
        <v>480</v>
      </c>
      <c r="B6" s="312" t="s">
        <v>463</v>
      </c>
      <c r="C6" s="313">
        <v>1377</v>
      </c>
      <c r="D6" s="313">
        <v>1202</v>
      </c>
      <c r="E6" s="313">
        <v>175</v>
      </c>
      <c r="F6" s="313">
        <v>1344</v>
      </c>
      <c r="G6" s="313">
        <v>1186</v>
      </c>
      <c r="H6" s="313">
        <v>158</v>
      </c>
      <c r="I6" s="313">
        <v>1407</v>
      </c>
      <c r="J6" s="313">
        <v>1260</v>
      </c>
      <c r="K6" s="313">
        <v>147</v>
      </c>
      <c r="L6" s="313">
        <v>1033</v>
      </c>
      <c r="M6" s="313">
        <v>910</v>
      </c>
      <c r="N6" s="313">
        <v>123</v>
      </c>
      <c r="O6" s="313">
        <v>1056</v>
      </c>
      <c r="P6" s="313">
        <v>946</v>
      </c>
      <c r="Q6" s="313">
        <v>110</v>
      </c>
    </row>
    <row r="7" spans="1:18" ht="26.1" customHeight="1">
      <c r="A7" s="526"/>
      <c r="B7" s="315" t="s">
        <v>121</v>
      </c>
      <c r="C7" s="316">
        <v>53.684210526315788</v>
      </c>
      <c r="D7" s="316">
        <v>53.115333627927527</v>
      </c>
      <c r="E7" s="316">
        <v>57.947019867549663</v>
      </c>
      <c r="F7" s="316">
        <v>53.717026378896882</v>
      </c>
      <c r="G7" s="316">
        <v>53.041144901610018</v>
      </c>
      <c r="H7" s="316">
        <v>59.398496240601503</v>
      </c>
      <c r="I7" s="316">
        <v>51.182248090214621</v>
      </c>
      <c r="J7" s="316">
        <v>50.480769230769226</v>
      </c>
      <c r="K7" s="316">
        <v>58.102766798418969</v>
      </c>
      <c r="L7" s="316">
        <v>47.450620119430411</v>
      </c>
      <c r="M7" s="316">
        <v>46.310432569974552</v>
      </c>
      <c r="N7" s="316">
        <v>58.018867924528308</v>
      </c>
      <c r="O7" s="316">
        <v>49.530956848030016</v>
      </c>
      <c r="P7" s="316">
        <v>48.662551440329217</v>
      </c>
      <c r="Q7" s="316">
        <v>58.51063829787234</v>
      </c>
    </row>
    <row r="8" spans="1:18" ht="26.1" customHeight="1">
      <c r="A8" s="526" t="s">
        <v>481</v>
      </c>
      <c r="B8" s="312" t="s">
        <v>463</v>
      </c>
      <c r="C8" s="313">
        <v>1095</v>
      </c>
      <c r="D8" s="313">
        <v>978</v>
      </c>
      <c r="E8" s="313">
        <v>117</v>
      </c>
      <c r="F8" s="313">
        <v>1111</v>
      </c>
      <c r="G8" s="313">
        <v>1008</v>
      </c>
      <c r="H8" s="313">
        <v>103</v>
      </c>
      <c r="I8" s="313">
        <v>1281</v>
      </c>
      <c r="J8" s="313">
        <v>1187</v>
      </c>
      <c r="K8" s="313">
        <v>94</v>
      </c>
      <c r="L8" s="313">
        <v>1099</v>
      </c>
      <c r="M8" s="313">
        <v>1014</v>
      </c>
      <c r="N8" s="313">
        <v>85</v>
      </c>
      <c r="O8" s="313">
        <v>1039</v>
      </c>
      <c r="P8" s="313">
        <v>965</v>
      </c>
      <c r="Q8" s="313">
        <v>74</v>
      </c>
    </row>
    <row r="9" spans="1:18" ht="26.1" customHeight="1">
      <c r="A9" s="526"/>
      <c r="B9" s="315" t="s">
        <v>121</v>
      </c>
      <c r="C9" s="316">
        <v>42.690058479532162</v>
      </c>
      <c r="D9" s="316">
        <v>43.216968625718074</v>
      </c>
      <c r="E9" s="316">
        <v>38.741721854304636</v>
      </c>
      <c r="F9" s="316">
        <v>44.40447641886491</v>
      </c>
      <c r="G9" s="316">
        <v>45.080500894454381</v>
      </c>
      <c r="H9" s="316">
        <v>38.721804511278194</v>
      </c>
      <c r="I9" s="316">
        <v>46.598763186613311</v>
      </c>
      <c r="J9" s="316">
        <v>47.556089743589745</v>
      </c>
      <c r="K9" s="316">
        <v>37.154150197628461</v>
      </c>
      <c r="L9" s="316">
        <v>50.482315112540185</v>
      </c>
      <c r="M9" s="316">
        <v>51.603053435114496</v>
      </c>
      <c r="N9" s="316">
        <v>40.094339622641513</v>
      </c>
      <c r="O9" s="316">
        <v>48.733583489681045</v>
      </c>
      <c r="P9" s="316">
        <v>49.639917695473251</v>
      </c>
      <c r="Q9" s="316">
        <v>39.361702127659576</v>
      </c>
    </row>
    <row r="10" spans="1:18" ht="26.1" customHeight="1">
      <c r="A10" s="526" t="s">
        <v>479</v>
      </c>
      <c r="B10" s="312" t="s">
        <v>463</v>
      </c>
      <c r="C10" s="313">
        <v>74</v>
      </c>
      <c r="D10" s="313">
        <v>66</v>
      </c>
      <c r="E10" s="313">
        <v>8</v>
      </c>
      <c r="F10" s="313">
        <v>32</v>
      </c>
      <c r="G10" s="313">
        <v>28</v>
      </c>
      <c r="H10" s="313">
        <v>4</v>
      </c>
      <c r="I10" s="313">
        <v>45</v>
      </c>
      <c r="J10" s="313">
        <v>34</v>
      </c>
      <c r="K10" s="313">
        <v>11</v>
      </c>
      <c r="L10" s="313">
        <v>28</v>
      </c>
      <c r="M10" s="313">
        <v>24</v>
      </c>
      <c r="N10" s="313">
        <v>4</v>
      </c>
      <c r="O10" s="313">
        <v>23</v>
      </c>
      <c r="P10" s="313">
        <v>20</v>
      </c>
      <c r="Q10" s="313">
        <v>3</v>
      </c>
    </row>
    <row r="11" spans="1:18" ht="26.1" customHeight="1">
      <c r="A11" s="526"/>
      <c r="B11" s="315" t="s">
        <v>121</v>
      </c>
      <c r="C11" s="316">
        <v>2.8849902534113059</v>
      </c>
      <c r="D11" s="316">
        <v>2.9164825452938579</v>
      </c>
      <c r="E11" s="316">
        <v>2.6490066225165565</v>
      </c>
      <c r="F11" s="316">
        <v>1.2789768185451638</v>
      </c>
      <c r="G11" s="316">
        <v>1.2522361359570662</v>
      </c>
      <c r="H11" s="316">
        <v>1.5037593984962405</v>
      </c>
      <c r="I11" s="316">
        <v>1.6369588941433248</v>
      </c>
      <c r="J11" s="316">
        <v>1.3621794871794872</v>
      </c>
      <c r="K11" s="316">
        <v>4.3478260869565215</v>
      </c>
      <c r="L11" s="316">
        <v>1.2861736334405145</v>
      </c>
      <c r="M11" s="316">
        <v>1.2213740458015268</v>
      </c>
      <c r="N11" s="316">
        <v>1.8867924528301887</v>
      </c>
      <c r="O11" s="316">
        <v>1.0787992495309568</v>
      </c>
      <c r="P11" s="316">
        <v>1.0288065843621399</v>
      </c>
      <c r="Q11" s="316">
        <v>1.5957446808510638</v>
      </c>
    </row>
    <row r="12" spans="1:18" ht="26.1" customHeight="1">
      <c r="A12" s="526" t="s">
        <v>478</v>
      </c>
      <c r="B12" s="312" t="s">
        <v>463</v>
      </c>
      <c r="C12" s="313">
        <v>17</v>
      </c>
      <c r="D12" s="313">
        <v>15</v>
      </c>
      <c r="E12" s="313">
        <v>2</v>
      </c>
      <c r="F12" s="313">
        <v>14</v>
      </c>
      <c r="G12" s="313">
        <v>13</v>
      </c>
      <c r="H12" s="313">
        <v>1</v>
      </c>
      <c r="I12" s="313">
        <v>15</v>
      </c>
      <c r="J12" s="313">
        <v>14</v>
      </c>
      <c r="K12" s="313">
        <v>1</v>
      </c>
      <c r="L12" s="313">
        <v>17</v>
      </c>
      <c r="M12" s="313">
        <v>17</v>
      </c>
      <c r="N12" s="313" t="s">
        <v>77</v>
      </c>
      <c r="O12" s="313">
        <v>14</v>
      </c>
      <c r="P12" s="313">
        <v>13</v>
      </c>
      <c r="Q12" s="313">
        <v>1</v>
      </c>
    </row>
    <row r="13" spans="1:18" ht="26.1" customHeight="1">
      <c r="A13" s="526"/>
      <c r="B13" s="315" t="s">
        <v>121</v>
      </c>
      <c r="C13" s="316">
        <v>0.66276803118908378</v>
      </c>
      <c r="D13" s="316">
        <v>0.66283694211224042</v>
      </c>
      <c r="E13" s="316">
        <v>0.66225165562913912</v>
      </c>
      <c r="F13" s="316">
        <v>0.55955235811350923</v>
      </c>
      <c r="G13" s="316">
        <v>0.58139534883720934</v>
      </c>
      <c r="H13" s="316">
        <v>0.37593984962406013</v>
      </c>
      <c r="I13" s="316">
        <v>0.54565296471444158</v>
      </c>
      <c r="J13" s="316">
        <v>0.5608974358974359</v>
      </c>
      <c r="K13" s="316">
        <v>0.39525691699604742</v>
      </c>
      <c r="L13" s="316">
        <v>0.78089113458888371</v>
      </c>
      <c r="M13" s="316">
        <v>0.86513994910941472</v>
      </c>
      <c r="N13" s="316" t="s">
        <v>77</v>
      </c>
      <c r="O13" s="316">
        <v>0.65666041275797382</v>
      </c>
      <c r="P13" s="316">
        <v>0.66872427983539096</v>
      </c>
      <c r="Q13" s="316">
        <v>0.53191489361702127</v>
      </c>
    </row>
    <row r="14" spans="1:18" ht="26.1" customHeight="1">
      <c r="A14" s="526" t="s">
        <v>477</v>
      </c>
      <c r="B14" s="312" t="s">
        <v>463</v>
      </c>
      <c r="C14" s="313" t="s">
        <v>77</v>
      </c>
      <c r="D14" s="313" t="s">
        <v>77</v>
      </c>
      <c r="E14" s="313" t="s">
        <v>77</v>
      </c>
      <c r="F14" s="313">
        <v>1</v>
      </c>
      <c r="G14" s="313">
        <v>1</v>
      </c>
      <c r="H14" s="313" t="s">
        <v>77</v>
      </c>
      <c r="I14" s="313" t="s">
        <v>280</v>
      </c>
      <c r="J14" s="313" t="s">
        <v>280</v>
      </c>
      <c r="K14" s="313" t="s">
        <v>77</v>
      </c>
      <c r="L14" s="313" t="s">
        <v>77</v>
      </c>
      <c r="M14" s="313" t="s">
        <v>77</v>
      </c>
      <c r="N14" s="313" t="s">
        <v>77</v>
      </c>
      <c r="O14" s="313" t="s">
        <v>77</v>
      </c>
      <c r="P14" s="313" t="s">
        <v>77</v>
      </c>
      <c r="Q14" s="313" t="s">
        <v>77</v>
      </c>
    </row>
    <row r="15" spans="1:18" ht="26.1" customHeight="1">
      <c r="A15" s="526"/>
      <c r="B15" s="315" t="s">
        <v>121</v>
      </c>
      <c r="C15" s="316" t="s">
        <v>77</v>
      </c>
      <c r="D15" s="316" t="s">
        <v>77</v>
      </c>
      <c r="E15" s="316" t="s">
        <v>77</v>
      </c>
      <c r="F15" s="316">
        <v>3.9968025579536368E-2</v>
      </c>
      <c r="G15" s="316">
        <v>4.4722719141323794E-2</v>
      </c>
      <c r="H15" s="316" t="s">
        <v>77</v>
      </c>
      <c r="I15" s="316" t="s">
        <v>77</v>
      </c>
      <c r="J15" s="316" t="s">
        <v>77</v>
      </c>
      <c r="K15" s="316" t="s">
        <v>77</v>
      </c>
      <c r="L15" s="316" t="s">
        <v>77</v>
      </c>
      <c r="M15" s="316" t="s">
        <v>77</v>
      </c>
      <c r="N15" s="316" t="s">
        <v>77</v>
      </c>
      <c r="O15" s="316" t="s">
        <v>77</v>
      </c>
      <c r="P15" s="316" t="s">
        <v>77</v>
      </c>
      <c r="Q15" s="316" t="s">
        <v>77</v>
      </c>
    </row>
    <row r="16" spans="1:18" ht="26.1" customHeight="1">
      <c r="A16" s="526" t="s">
        <v>476</v>
      </c>
      <c r="B16" s="312" t="s">
        <v>463</v>
      </c>
      <c r="C16" s="313">
        <v>2</v>
      </c>
      <c r="D16" s="313">
        <v>2</v>
      </c>
      <c r="E16" s="313" t="s">
        <v>77</v>
      </c>
      <c r="F16" s="313" t="s">
        <v>280</v>
      </c>
      <c r="G16" s="313" t="s">
        <v>280</v>
      </c>
      <c r="H16" s="313" t="s">
        <v>77</v>
      </c>
      <c r="I16" s="313">
        <v>1</v>
      </c>
      <c r="J16" s="313">
        <v>1</v>
      </c>
      <c r="K16" s="313" t="s">
        <v>77</v>
      </c>
      <c r="L16" s="313" t="s">
        <v>280</v>
      </c>
      <c r="M16" s="313" t="s">
        <v>280</v>
      </c>
      <c r="N16" s="313" t="s">
        <v>77</v>
      </c>
      <c r="O16" s="313" t="s">
        <v>77</v>
      </c>
      <c r="P16" s="313" t="s">
        <v>77</v>
      </c>
      <c r="Q16" s="313" t="s">
        <v>77</v>
      </c>
    </row>
    <row r="17" spans="1:17" ht="26.1" customHeight="1">
      <c r="A17" s="528"/>
      <c r="B17" s="319" t="s">
        <v>121</v>
      </c>
      <c r="C17" s="320">
        <v>7.7972709551656916E-2</v>
      </c>
      <c r="D17" s="320">
        <v>8.8378258948298719E-2</v>
      </c>
      <c r="E17" s="320" t="s">
        <v>77</v>
      </c>
      <c r="F17" s="320" t="s">
        <v>77</v>
      </c>
      <c r="G17" s="320" t="s">
        <v>77</v>
      </c>
      <c r="H17" s="320" t="s">
        <v>77</v>
      </c>
      <c r="I17" s="320">
        <v>3.6376864314296105E-2</v>
      </c>
      <c r="J17" s="320">
        <v>4.0064102564102561E-2</v>
      </c>
      <c r="K17" s="320" t="s">
        <v>77</v>
      </c>
      <c r="L17" s="320" t="s">
        <v>77</v>
      </c>
      <c r="M17" s="320" t="s">
        <v>77</v>
      </c>
      <c r="N17" s="320" t="s">
        <v>77</v>
      </c>
      <c r="O17" s="320" t="s">
        <v>77</v>
      </c>
      <c r="P17" s="320" t="s">
        <v>77</v>
      </c>
      <c r="Q17" s="320" t="s">
        <v>77</v>
      </c>
    </row>
    <row r="18" spans="1:17" ht="18" customHeight="1">
      <c r="A18" s="329" t="s">
        <v>462</v>
      </c>
      <c r="B18" s="332"/>
      <c r="C18" s="323"/>
      <c r="D18" s="323"/>
      <c r="E18" s="323"/>
      <c r="F18" s="323"/>
      <c r="G18" s="323"/>
      <c r="H18" s="323"/>
      <c r="I18" s="323"/>
      <c r="J18" s="323"/>
      <c r="K18" s="323"/>
      <c r="L18" s="322"/>
      <c r="M18" s="322"/>
      <c r="N18" s="322"/>
      <c r="O18" s="325"/>
      <c r="P18" s="325"/>
      <c r="Q18" s="325"/>
    </row>
    <row r="19" spans="1:17" ht="14.1" customHeight="1">
      <c r="A19" s="329" t="s">
        <v>449</v>
      </c>
      <c r="B19" s="332"/>
      <c r="C19" s="322"/>
      <c r="D19" s="322"/>
      <c r="E19" s="322"/>
      <c r="F19" s="322"/>
      <c r="G19" s="322"/>
      <c r="H19" s="322"/>
      <c r="I19" s="322"/>
      <c r="J19" s="322"/>
      <c r="K19" s="322"/>
      <c r="L19" s="322"/>
      <c r="M19" s="322"/>
      <c r="N19" s="322"/>
      <c r="O19" s="325"/>
      <c r="P19" s="325"/>
      <c r="Q19" s="325"/>
    </row>
    <row r="20" spans="1:17">
      <c r="A20" s="326"/>
      <c r="B20" s="326"/>
      <c r="C20" s="331"/>
      <c r="D20" s="331"/>
      <c r="E20" s="331"/>
      <c r="F20" s="331"/>
      <c r="G20" s="331"/>
      <c r="H20" s="331"/>
      <c r="I20" s="331"/>
      <c r="J20" s="331"/>
      <c r="K20" s="331"/>
      <c r="L20" s="326"/>
      <c r="M20" s="326"/>
      <c r="N20" s="326"/>
      <c r="O20" s="326"/>
      <c r="P20" s="326"/>
      <c r="Q20" s="326"/>
    </row>
  </sheetData>
  <mergeCells count="14">
    <mergeCell ref="A16:A17"/>
    <mergeCell ref="A4:A5"/>
    <mergeCell ref="A8:A9"/>
    <mergeCell ref="A6:A7"/>
    <mergeCell ref="A10:A11"/>
    <mergeCell ref="A12:A13"/>
    <mergeCell ref="A14:A15"/>
    <mergeCell ref="A1:Q1"/>
    <mergeCell ref="A2:B3"/>
    <mergeCell ref="C2:E2"/>
    <mergeCell ref="F2:H2"/>
    <mergeCell ref="I2:K2"/>
    <mergeCell ref="L2:N2"/>
    <mergeCell ref="O2:Q2"/>
  </mergeCells>
  <phoneticPr fontId="2" type="noConversion"/>
  <hyperlinks>
    <hyperlink ref="R1" location="本篇表次!A1" display="回本篇表次"/>
  </hyperlinks>
  <pageMargins left="0.7" right="0.7" top="0.75" bottom="0.75" header="0.3" footer="0.3"/>
  <pageSetup paperSize="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R18"/>
  <sheetViews>
    <sheetView showGridLines="0" zoomScale="90" zoomScaleNormal="90" workbookViewId="0">
      <pane xSplit="1" ySplit="3" topLeftCell="B4" activePane="bottomRight" state="frozen"/>
      <selection sqref="A1:U1"/>
      <selection pane="topRight" sqref="A1:U1"/>
      <selection pane="bottomLeft" sqref="A1:U1"/>
      <selection pane="bottomRight" sqref="A1:U1"/>
    </sheetView>
  </sheetViews>
  <sheetFormatPr defaultColWidth="10" defaultRowHeight="16.5"/>
  <cols>
    <col min="1" max="1" width="19" style="283" customWidth="1"/>
    <col min="2" max="2" width="6.5" style="283" customWidth="1"/>
    <col min="3" max="17" width="10" style="283"/>
    <col min="18" max="18" width="12.625" style="283" bestFit="1" customWidth="1"/>
    <col min="19" max="16384" width="10" style="283"/>
  </cols>
  <sheetData>
    <row r="1" spans="1:18" ht="26.1" customHeight="1">
      <c r="A1" s="529" t="s">
        <v>488</v>
      </c>
      <c r="B1" s="529"/>
      <c r="C1" s="529"/>
      <c r="D1" s="529"/>
      <c r="E1" s="529"/>
      <c r="F1" s="529"/>
      <c r="G1" s="529"/>
      <c r="H1" s="529"/>
      <c r="I1" s="529"/>
      <c r="J1" s="529"/>
      <c r="K1" s="529"/>
      <c r="L1" s="529"/>
      <c r="M1" s="529"/>
      <c r="N1" s="529"/>
      <c r="O1" s="529"/>
      <c r="P1" s="529"/>
      <c r="Q1" s="529"/>
      <c r="R1" s="348" t="s">
        <v>644</v>
      </c>
    </row>
    <row r="2" spans="1:18" ht="30" customHeight="1">
      <c r="A2" s="525"/>
      <c r="B2" s="525"/>
      <c r="C2" s="532" t="s">
        <v>461</v>
      </c>
      <c r="D2" s="532"/>
      <c r="E2" s="532"/>
      <c r="F2" s="532" t="s">
        <v>445</v>
      </c>
      <c r="G2" s="532"/>
      <c r="H2" s="532"/>
      <c r="I2" s="532" t="s">
        <v>214</v>
      </c>
      <c r="J2" s="532"/>
      <c r="K2" s="532"/>
      <c r="L2" s="532" t="s">
        <v>460</v>
      </c>
      <c r="M2" s="532"/>
      <c r="N2" s="532"/>
      <c r="O2" s="532" t="s">
        <v>58</v>
      </c>
      <c r="P2" s="532"/>
      <c r="Q2" s="532"/>
    </row>
    <row r="3" spans="1:18" ht="30" customHeight="1">
      <c r="A3" s="526"/>
      <c r="B3" s="526"/>
      <c r="C3" s="309" t="s">
        <v>475</v>
      </c>
      <c r="D3" s="310" t="s">
        <v>474</v>
      </c>
      <c r="E3" s="310" t="s">
        <v>473</v>
      </c>
      <c r="F3" s="309" t="s">
        <v>475</v>
      </c>
      <c r="G3" s="310" t="s">
        <v>474</v>
      </c>
      <c r="H3" s="310" t="s">
        <v>473</v>
      </c>
      <c r="I3" s="309" t="s">
        <v>475</v>
      </c>
      <c r="J3" s="310" t="s">
        <v>474</v>
      </c>
      <c r="K3" s="310" t="s">
        <v>473</v>
      </c>
      <c r="L3" s="309" t="s">
        <v>475</v>
      </c>
      <c r="M3" s="310" t="s">
        <v>474</v>
      </c>
      <c r="N3" s="310" t="s">
        <v>473</v>
      </c>
      <c r="O3" s="309" t="s">
        <v>475</v>
      </c>
      <c r="P3" s="310" t="s">
        <v>474</v>
      </c>
      <c r="Q3" s="310" t="s">
        <v>473</v>
      </c>
    </row>
    <row r="4" spans="1:18" ht="30" customHeight="1">
      <c r="A4" s="526" t="s">
        <v>643</v>
      </c>
      <c r="B4" s="333" t="s">
        <v>463</v>
      </c>
      <c r="C4" s="334">
        <f t="shared" ref="C4:Q4" si="0">SUM(C10,C6,C8,C12,C14)</f>
        <v>2565</v>
      </c>
      <c r="D4" s="334">
        <f t="shared" si="0"/>
        <v>2263</v>
      </c>
      <c r="E4" s="334">
        <f t="shared" si="0"/>
        <v>302</v>
      </c>
      <c r="F4" s="334">
        <f t="shared" si="0"/>
        <v>2502</v>
      </c>
      <c r="G4" s="334">
        <f t="shared" si="0"/>
        <v>2236</v>
      </c>
      <c r="H4" s="334">
        <f t="shared" si="0"/>
        <v>266</v>
      </c>
      <c r="I4" s="334">
        <f t="shared" si="0"/>
        <v>2749</v>
      </c>
      <c r="J4" s="334">
        <f t="shared" si="0"/>
        <v>2496</v>
      </c>
      <c r="K4" s="334">
        <f t="shared" si="0"/>
        <v>253</v>
      </c>
      <c r="L4" s="334">
        <f t="shared" si="0"/>
        <v>2177</v>
      </c>
      <c r="M4" s="334">
        <f t="shared" si="0"/>
        <v>1965</v>
      </c>
      <c r="N4" s="334">
        <f t="shared" si="0"/>
        <v>212</v>
      </c>
      <c r="O4" s="335">
        <f t="shared" si="0"/>
        <v>2132</v>
      </c>
      <c r="P4" s="335">
        <f t="shared" si="0"/>
        <v>1944</v>
      </c>
      <c r="Q4" s="335">
        <f t="shared" si="0"/>
        <v>188</v>
      </c>
    </row>
    <row r="5" spans="1:18" ht="30" customHeight="1">
      <c r="A5" s="526"/>
      <c r="B5" s="333" t="s">
        <v>121</v>
      </c>
      <c r="C5" s="336">
        <f t="shared" ref="C5:Q5" si="1">SUM(C11,C7,C9,C13,C15)</f>
        <v>100</v>
      </c>
      <c r="D5" s="336">
        <f t="shared" si="1"/>
        <v>100</v>
      </c>
      <c r="E5" s="336">
        <f t="shared" si="1"/>
        <v>100</v>
      </c>
      <c r="F5" s="336">
        <f t="shared" si="1"/>
        <v>100.00000000000001</v>
      </c>
      <c r="G5" s="336">
        <f t="shared" si="1"/>
        <v>100</v>
      </c>
      <c r="H5" s="336">
        <f t="shared" si="1"/>
        <v>99.999999999999986</v>
      </c>
      <c r="I5" s="336">
        <f t="shared" si="1"/>
        <v>99.999999999999986</v>
      </c>
      <c r="J5" s="336">
        <f t="shared" si="1"/>
        <v>100</v>
      </c>
      <c r="K5" s="336">
        <f t="shared" si="1"/>
        <v>100.00000000000001</v>
      </c>
      <c r="L5" s="336">
        <f t="shared" si="1"/>
        <v>100</v>
      </c>
      <c r="M5" s="336">
        <f t="shared" si="1"/>
        <v>100</v>
      </c>
      <c r="N5" s="336">
        <f t="shared" si="1"/>
        <v>100</v>
      </c>
      <c r="O5" s="336">
        <f t="shared" si="1"/>
        <v>100</v>
      </c>
      <c r="P5" s="336">
        <f t="shared" si="1"/>
        <v>100</v>
      </c>
      <c r="Q5" s="336">
        <f t="shared" si="1"/>
        <v>100</v>
      </c>
    </row>
    <row r="6" spans="1:18" ht="30" customHeight="1">
      <c r="A6" s="526" t="s">
        <v>487</v>
      </c>
      <c r="B6" s="333" t="s">
        <v>463</v>
      </c>
      <c r="C6" s="334">
        <v>1774</v>
      </c>
      <c r="D6" s="334">
        <v>1584</v>
      </c>
      <c r="E6" s="334">
        <v>190</v>
      </c>
      <c r="F6" s="334">
        <v>1757</v>
      </c>
      <c r="G6" s="334">
        <v>1585</v>
      </c>
      <c r="H6" s="334">
        <v>172</v>
      </c>
      <c r="I6" s="334">
        <v>1830</v>
      </c>
      <c r="J6" s="334">
        <v>1671</v>
      </c>
      <c r="K6" s="334">
        <v>159</v>
      </c>
      <c r="L6" s="334">
        <v>1372</v>
      </c>
      <c r="M6" s="334">
        <v>1240</v>
      </c>
      <c r="N6" s="334">
        <v>132</v>
      </c>
      <c r="O6" s="334">
        <v>1247</v>
      </c>
      <c r="P6" s="334">
        <v>1160</v>
      </c>
      <c r="Q6" s="334">
        <v>87</v>
      </c>
    </row>
    <row r="7" spans="1:18" ht="30" customHeight="1">
      <c r="A7" s="526"/>
      <c r="B7" s="333" t="s">
        <v>121</v>
      </c>
      <c r="C7" s="336">
        <f t="shared" ref="C7:Q7" si="2">IFERROR(C6/C$4*100,"-")</f>
        <v>69.161793372319693</v>
      </c>
      <c r="D7" s="336">
        <f t="shared" si="2"/>
        <v>69.995581087052585</v>
      </c>
      <c r="E7" s="336">
        <f t="shared" si="2"/>
        <v>62.913907284768214</v>
      </c>
      <c r="F7" s="336">
        <f t="shared" si="2"/>
        <v>70.223820943245414</v>
      </c>
      <c r="G7" s="336">
        <f t="shared" si="2"/>
        <v>70.885509838998203</v>
      </c>
      <c r="H7" s="336">
        <f t="shared" si="2"/>
        <v>64.661654135338338</v>
      </c>
      <c r="I7" s="336">
        <f t="shared" si="2"/>
        <v>66.569661695161869</v>
      </c>
      <c r="J7" s="336">
        <f t="shared" si="2"/>
        <v>66.947115384615387</v>
      </c>
      <c r="K7" s="336">
        <f t="shared" si="2"/>
        <v>62.845849802371546</v>
      </c>
      <c r="L7" s="336">
        <f t="shared" si="2"/>
        <v>63.022508038585215</v>
      </c>
      <c r="M7" s="336">
        <f t="shared" si="2"/>
        <v>63.104325699745544</v>
      </c>
      <c r="N7" s="336">
        <f t="shared" si="2"/>
        <v>62.264150943396224</v>
      </c>
      <c r="O7" s="336">
        <f t="shared" si="2"/>
        <v>58.489681050656664</v>
      </c>
      <c r="P7" s="336">
        <f t="shared" si="2"/>
        <v>59.670781893004111</v>
      </c>
      <c r="Q7" s="336">
        <f t="shared" si="2"/>
        <v>46.276595744680847</v>
      </c>
    </row>
    <row r="8" spans="1:18" ht="30" customHeight="1">
      <c r="A8" s="526" t="s">
        <v>486</v>
      </c>
      <c r="B8" s="333" t="s">
        <v>463</v>
      </c>
      <c r="C8" s="334">
        <v>703</v>
      </c>
      <c r="D8" s="334">
        <v>606</v>
      </c>
      <c r="E8" s="334">
        <v>97</v>
      </c>
      <c r="F8" s="334">
        <v>637</v>
      </c>
      <c r="G8" s="334">
        <v>559</v>
      </c>
      <c r="H8" s="334">
        <v>78</v>
      </c>
      <c r="I8" s="334">
        <v>792</v>
      </c>
      <c r="J8" s="334">
        <v>717</v>
      </c>
      <c r="K8" s="334">
        <v>75</v>
      </c>
      <c r="L8" s="334">
        <v>728</v>
      </c>
      <c r="M8" s="334">
        <v>657</v>
      </c>
      <c r="N8" s="334">
        <v>71</v>
      </c>
      <c r="O8" s="334">
        <v>812</v>
      </c>
      <c r="P8" s="334">
        <v>721</v>
      </c>
      <c r="Q8" s="334">
        <v>91</v>
      </c>
    </row>
    <row r="9" spans="1:18" ht="30" customHeight="1">
      <c r="A9" s="526"/>
      <c r="B9" s="333" t="s">
        <v>121</v>
      </c>
      <c r="C9" s="336">
        <f t="shared" ref="C9:Q9" si="3">IFERROR(C8/C$4*100,"-")</f>
        <v>27.407407407407408</v>
      </c>
      <c r="D9" s="336">
        <f t="shared" si="3"/>
        <v>26.778612461334511</v>
      </c>
      <c r="E9" s="336">
        <f t="shared" si="3"/>
        <v>32.119205298013242</v>
      </c>
      <c r="F9" s="336">
        <f t="shared" si="3"/>
        <v>25.45963229416467</v>
      </c>
      <c r="G9" s="336">
        <f t="shared" si="3"/>
        <v>25</v>
      </c>
      <c r="H9" s="336">
        <f t="shared" si="3"/>
        <v>29.323308270676691</v>
      </c>
      <c r="I9" s="336">
        <f t="shared" si="3"/>
        <v>28.810476536922518</v>
      </c>
      <c r="J9" s="336">
        <f t="shared" si="3"/>
        <v>28.725961538461537</v>
      </c>
      <c r="K9" s="336">
        <f t="shared" si="3"/>
        <v>29.644268774703558</v>
      </c>
      <c r="L9" s="336">
        <f t="shared" si="3"/>
        <v>33.440514469453376</v>
      </c>
      <c r="M9" s="336">
        <f t="shared" si="3"/>
        <v>33.435114503816791</v>
      </c>
      <c r="N9" s="336">
        <f t="shared" si="3"/>
        <v>33.490566037735846</v>
      </c>
      <c r="O9" s="336">
        <f t="shared" si="3"/>
        <v>38.086303939962477</v>
      </c>
      <c r="P9" s="336">
        <f t="shared" si="3"/>
        <v>37.088477366255148</v>
      </c>
      <c r="Q9" s="336">
        <f t="shared" si="3"/>
        <v>48.404255319148938</v>
      </c>
    </row>
    <row r="10" spans="1:18" ht="30" customHeight="1">
      <c r="A10" s="526" t="s">
        <v>485</v>
      </c>
      <c r="B10" s="333" t="s">
        <v>463</v>
      </c>
      <c r="C10" s="334">
        <v>68</v>
      </c>
      <c r="D10" s="334">
        <v>54</v>
      </c>
      <c r="E10" s="334">
        <v>14</v>
      </c>
      <c r="F10" s="334">
        <v>93</v>
      </c>
      <c r="G10" s="334">
        <v>78</v>
      </c>
      <c r="H10" s="334">
        <v>15</v>
      </c>
      <c r="I10" s="334">
        <v>119</v>
      </c>
      <c r="J10" s="334">
        <v>101</v>
      </c>
      <c r="K10" s="334">
        <v>18</v>
      </c>
      <c r="L10" s="334">
        <v>68</v>
      </c>
      <c r="M10" s="334">
        <v>59</v>
      </c>
      <c r="N10" s="334">
        <v>9</v>
      </c>
      <c r="O10" s="334">
        <v>70</v>
      </c>
      <c r="P10" s="334">
        <v>61</v>
      </c>
      <c r="Q10" s="334">
        <v>9</v>
      </c>
    </row>
    <row r="11" spans="1:18" ht="30" customHeight="1">
      <c r="A11" s="526"/>
      <c r="B11" s="333" t="s">
        <v>121</v>
      </c>
      <c r="C11" s="336">
        <f t="shared" ref="C11:Q11" si="4">IFERROR(C10/C$4*100,"-")</f>
        <v>2.6510721247563351</v>
      </c>
      <c r="D11" s="336">
        <f t="shared" si="4"/>
        <v>2.3862129916040651</v>
      </c>
      <c r="E11" s="336">
        <f t="shared" si="4"/>
        <v>4.6357615894039732</v>
      </c>
      <c r="F11" s="336">
        <f t="shared" si="4"/>
        <v>3.7170263788968825</v>
      </c>
      <c r="G11" s="336">
        <f t="shared" si="4"/>
        <v>3.4883720930232558</v>
      </c>
      <c r="H11" s="336">
        <f t="shared" si="4"/>
        <v>5.6390977443609023</v>
      </c>
      <c r="I11" s="336">
        <f t="shared" si="4"/>
        <v>4.3288468534012363</v>
      </c>
      <c r="J11" s="336">
        <f t="shared" si="4"/>
        <v>4.0464743589743595</v>
      </c>
      <c r="K11" s="336">
        <f t="shared" si="4"/>
        <v>7.1146245059288544</v>
      </c>
      <c r="L11" s="336">
        <f t="shared" si="4"/>
        <v>3.1235645383555348</v>
      </c>
      <c r="M11" s="336">
        <f t="shared" si="4"/>
        <v>3.0025445292620865</v>
      </c>
      <c r="N11" s="336">
        <f t="shared" si="4"/>
        <v>4.2452830188679247</v>
      </c>
      <c r="O11" s="336">
        <f t="shared" si="4"/>
        <v>3.2833020637898689</v>
      </c>
      <c r="P11" s="336">
        <f t="shared" si="4"/>
        <v>3.1378600823045271</v>
      </c>
      <c r="Q11" s="336">
        <f t="shared" si="4"/>
        <v>4.7872340425531918</v>
      </c>
    </row>
    <row r="12" spans="1:18" ht="30" customHeight="1">
      <c r="A12" s="526" t="s">
        <v>484</v>
      </c>
      <c r="B12" s="333" t="s">
        <v>463</v>
      </c>
      <c r="C12" s="334">
        <v>10</v>
      </c>
      <c r="D12" s="334">
        <v>9</v>
      </c>
      <c r="E12" s="334">
        <v>1</v>
      </c>
      <c r="F12" s="334">
        <v>6</v>
      </c>
      <c r="G12" s="334">
        <v>6</v>
      </c>
      <c r="H12" s="334">
        <v>0</v>
      </c>
      <c r="I12" s="334">
        <v>1</v>
      </c>
      <c r="J12" s="334">
        <v>1</v>
      </c>
      <c r="K12" s="334">
        <v>0</v>
      </c>
      <c r="L12" s="334">
        <v>5</v>
      </c>
      <c r="M12" s="334">
        <v>5</v>
      </c>
      <c r="N12" s="334">
        <v>0</v>
      </c>
      <c r="O12" s="334">
        <v>2</v>
      </c>
      <c r="P12" s="334">
        <v>2</v>
      </c>
      <c r="Q12" s="334">
        <v>0</v>
      </c>
    </row>
    <row r="13" spans="1:18" ht="30" customHeight="1">
      <c r="A13" s="526"/>
      <c r="B13" s="333" t="s">
        <v>121</v>
      </c>
      <c r="C13" s="336">
        <f t="shared" ref="C13:Q13" si="5">IFERROR(C12/C$4*100,"-")</f>
        <v>0.38986354775828458</v>
      </c>
      <c r="D13" s="336">
        <f t="shared" si="5"/>
        <v>0.3977021652673442</v>
      </c>
      <c r="E13" s="336">
        <f t="shared" si="5"/>
        <v>0.33112582781456956</v>
      </c>
      <c r="F13" s="336">
        <f t="shared" si="5"/>
        <v>0.23980815347721821</v>
      </c>
      <c r="G13" s="336">
        <f t="shared" si="5"/>
        <v>0.26833631484794274</v>
      </c>
      <c r="H13" s="336">
        <f t="shared" si="5"/>
        <v>0</v>
      </c>
      <c r="I13" s="336">
        <f t="shared" si="5"/>
        <v>3.6376864314296105E-2</v>
      </c>
      <c r="J13" s="336">
        <f t="shared" si="5"/>
        <v>4.0064102564102561E-2</v>
      </c>
      <c r="K13" s="336">
        <f t="shared" si="5"/>
        <v>0</v>
      </c>
      <c r="L13" s="336">
        <f t="shared" si="5"/>
        <v>0.22967386311437757</v>
      </c>
      <c r="M13" s="336">
        <f t="shared" si="5"/>
        <v>0.2544529262086514</v>
      </c>
      <c r="N13" s="336">
        <f t="shared" si="5"/>
        <v>0</v>
      </c>
      <c r="O13" s="336">
        <f t="shared" si="5"/>
        <v>9.3808630393996242E-2</v>
      </c>
      <c r="P13" s="336">
        <f t="shared" si="5"/>
        <v>0.102880658436214</v>
      </c>
      <c r="Q13" s="336">
        <f t="shared" si="5"/>
        <v>0</v>
      </c>
    </row>
    <row r="14" spans="1:18" ht="30" customHeight="1">
      <c r="A14" s="526" t="s">
        <v>483</v>
      </c>
      <c r="B14" s="333" t="s">
        <v>463</v>
      </c>
      <c r="C14" s="334">
        <v>10</v>
      </c>
      <c r="D14" s="334">
        <v>10</v>
      </c>
      <c r="E14" s="334">
        <v>0</v>
      </c>
      <c r="F14" s="334">
        <v>9</v>
      </c>
      <c r="G14" s="334">
        <v>8</v>
      </c>
      <c r="H14" s="334">
        <v>1</v>
      </c>
      <c r="I14" s="334">
        <v>7</v>
      </c>
      <c r="J14" s="334">
        <v>6</v>
      </c>
      <c r="K14" s="334">
        <v>1</v>
      </c>
      <c r="L14" s="334">
        <v>4</v>
      </c>
      <c r="M14" s="334">
        <v>4</v>
      </c>
      <c r="N14" s="334">
        <v>0</v>
      </c>
      <c r="O14" s="334">
        <v>1</v>
      </c>
      <c r="P14" s="334">
        <v>0</v>
      </c>
      <c r="Q14" s="334">
        <v>1</v>
      </c>
    </row>
    <row r="15" spans="1:18" ht="30" customHeight="1">
      <c r="A15" s="528"/>
      <c r="B15" s="309" t="s">
        <v>121</v>
      </c>
      <c r="C15" s="337">
        <f t="shared" ref="C15:Q15" si="6">IFERROR(C14/C$4*100,"-")</f>
        <v>0.38986354775828458</v>
      </c>
      <c r="D15" s="337">
        <f t="shared" si="6"/>
        <v>0.44189129474149363</v>
      </c>
      <c r="E15" s="337">
        <f t="shared" si="6"/>
        <v>0</v>
      </c>
      <c r="F15" s="337">
        <f t="shared" si="6"/>
        <v>0.35971223021582738</v>
      </c>
      <c r="G15" s="337">
        <f t="shared" si="6"/>
        <v>0.35778175313059035</v>
      </c>
      <c r="H15" s="337">
        <f t="shared" si="6"/>
        <v>0.37593984962406013</v>
      </c>
      <c r="I15" s="337">
        <f t="shared" si="6"/>
        <v>0.25463805020007274</v>
      </c>
      <c r="J15" s="337">
        <f t="shared" si="6"/>
        <v>0.24038461538461539</v>
      </c>
      <c r="K15" s="337">
        <f t="shared" si="6"/>
        <v>0.39525691699604742</v>
      </c>
      <c r="L15" s="337">
        <f t="shared" si="6"/>
        <v>0.18373909049150206</v>
      </c>
      <c r="M15" s="337">
        <f t="shared" si="6"/>
        <v>0.20356234096692111</v>
      </c>
      <c r="N15" s="337">
        <f t="shared" si="6"/>
        <v>0</v>
      </c>
      <c r="O15" s="337">
        <f t="shared" si="6"/>
        <v>4.6904315196998121E-2</v>
      </c>
      <c r="P15" s="337">
        <f t="shared" si="6"/>
        <v>0</v>
      </c>
      <c r="Q15" s="337">
        <f t="shared" si="6"/>
        <v>0.53191489361702127</v>
      </c>
    </row>
    <row r="16" spans="1:18" ht="14.1" customHeight="1">
      <c r="A16" s="322" t="s">
        <v>462</v>
      </c>
      <c r="B16" s="332"/>
      <c r="C16" s="323"/>
      <c r="D16" s="323"/>
      <c r="E16" s="323"/>
      <c r="F16" s="323"/>
      <c r="G16" s="323"/>
      <c r="H16" s="323"/>
      <c r="I16" s="322"/>
      <c r="J16" s="322"/>
      <c r="K16" s="322"/>
      <c r="L16" s="322"/>
      <c r="M16" s="322"/>
      <c r="N16" s="322"/>
      <c r="O16" s="322"/>
      <c r="P16" s="322"/>
      <c r="Q16" s="322"/>
    </row>
    <row r="17" spans="1:17" ht="14.1" customHeight="1">
      <c r="A17" s="322" t="s">
        <v>449</v>
      </c>
      <c r="B17" s="332"/>
      <c r="C17" s="322"/>
      <c r="D17" s="322"/>
      <c r="E17" s="322"/>
      <c r="F17" s="322"/>
      <c r="G17" s="322"/>
      <c r="H17" s="322"/>
      <c r="I17" s="322"/>
      <c r="J17" s="322"/>
      <c r="K17" s="322"/>
      <c r="L17" s="322"/>
      <c r="M17" s="322"/>
      <c r="N17" s="322"/>
      <c r="O17" s="322"/>
      <c r="P17" s="322"/>
      <c r="Q17" s="322"/>
    </row>
    <row r="18" spans="1:17">
      <c r="A18" s="326"/>
      <c r="B18" s="333"/>
      <c r="C18" s="327"/>
      <c r="D18" s="327"/>
      <c r="E18" s="327"/>
      <c r="F18" s="327"/>
      <c r="G18" s="327"/>
      <c r="H18" s="327"/>
      <c r="I18" s="326"/>
      <c r="J18" s="326"/>
      <c r="K18" s="326"/>
      <c r="L18" s="326"/>
      <c r="M18" s="326"/>
      <c r="N18" s="326"/>
      <c r="O18" s="326"/>
      <c r="P18" s="326"/>
      <c r="Q18" s="326"/>
    </row>
  </sheetData>
  <mergeCells count="13">
    <mergeCell ref="A8:A9"/>
    <mergeCell ref="A10:A11"/>
    <mergeCell ref="A12:A13"/>
    <mergeCell ref="A14:A15"/>
    <mergeCell ref="A1:Q1"/>
    <mergeCell ref="A2:B3"/>
    <mergeCell ref="C2:E2"/>
    <mergeCell ref="F2:H2"/>
    <mergeCell ref="I2:K2"/>
    <mergeCell ref="L2:N2"/>
    <mergeCell ref="O2:Q2"/>
    <mergeCell ref="A4:A5"/>
    <mergeCell ref="A6:A7"/>
  </mergeCells>
  <phoneticPr fontId="2" type="noConversion"/>
  <hyperlinks>
    <hyperlink ref="R1" location="本篇表次!A1" display="回本篇表次"/>
  </hyperlinks>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R40"/>
  <sheetViews>
    <sheetView showGridLines="0" workbookViewId="0">
      <pane xSplit="2" ySplit="3" topLeftCell="I4" activePane="bottomRight" state="frozen"/>
      <selection sqref="A1:U1"/>
      <selection pane="topRight" sqref="A1:U1"/>
      <selection pane="bottomLeft" sqref="A1:U1"/>
      <selection pane="bottomRight" sqref="A1:U1"/>
    </sheetView>
  </sheetViews>
  <sheetFormatPr defaultColWidth="8.625" defaultRowHeight="16.5"/>
  <cols>
    <col min="1" max="1" width="26.875" style="283" customWidth="1"/>
    <col min="2" max="2" width="6.625" style="283" customWidth="1"/>
    <col min="3" max="17" width="8.625" style="283"/>
    <col min="18" max="18" width="12.625" style="283" bestFit="1" customWidth="1"/>
    <col min="19" max="16384" width="8.625" style="283"/>
  </cols>
  <sheetData>
    <row r="1" spans="1:18" ht="24.95" customHeight="1">
      <c r="A1" s="524" t="s">
        <v>664</v>
      </c>
      <c r="B1" s="524"/>
      <c r="C1" s="524"/>
      <c r="D1" s="524"/>
      <c r="E1" s="524"/>
      <c r="F1" s="524"/>
      <c r="G1" s="524"/>
      <c r="H1" s="524"/>
      <c r="I1" s="524"/>
      <c r="J1" s="524"/>
      <c r="K1" s="524"/>
      <c r="L1" s="524"/>
      <c r="M1" s="524"/>
      <c r="N1" s="524"/>
      <c r="O1" s="535"/>
      <c r="P1" s="535"/>
      <c r="Q1" s="535"/>
      <c r="R1" s="348" t="s">
        <v>644</v>
      </c>
    </row>
    <row r="2" spans="1:18" ht="18" customHeight="1">
      <c r="A2" s="530"/>
      <c r="B2" s="530"/>
      <c r="C2" s="527" t="s">
        <v>503</v>
      </c>
      <c r="D2" s="527"/>
      <c r="E2" s="527"/>
      <c r="F2" s="527" t="s">
        <v>445</v>
      </c>
      <c r="G2" s="527"/>
      <c r="H2" s="527"/>
      <c r="I2" s="527" t="s">
        <v>214</v>
      </c>
      <c r="J2" s="527"/>
      <c r="K2" s="527"/>
      <c r="L2" s="527" t="s">
        <v>460</v>
      </c>
      <c r="M2" s="527"/>
      <c r="N2" s="527"/>
      <c r="O2" s="527" t="s">
        <v>58</v>
      </c>
      <c r="P2" s="527"/>
      <c r="Q2" s="527"/>
    </row>
    <row r="3" spans="1:18" s="311" customFormat="1" ht="18" customHeight="1">
      <c r="A3" s="531"/>
      <c r="B3" s="531"/>
      <c r="C3" s="309" t="s">
        <v>502</v>
      </c>
      <c r="D3" s="310" t="s">
        <v>501</v>
      </c>
      <c r="E3" s="310" t="s">
        <v>500</v>
      </c>
      <c r="F3" s="309" t="s">
        <v>502</v>
      </c>
      <c r="G3" s="310" t="s">
        <v>501</v>
      </c>
      <c r="H3" s="310" t="s">
        <v>500</v>
      </c>
      <c r="I3" s="309" t="s">
        <v>502</v>
      </c>
      <c r="J3" s="310" t="s">
        <v>501</v>
      </c>
      <c r="K3" s="310" t="s">
        <v>500</v>
      </c>
      <c r="L3" s="309" t="s">
        <v>502</v>
      </c>
      <c r="M3" s="310" t="s">
        <v>501</v>
      </c>
      <c r="N3" s="310" t="s">
        <v>500</v>
      </c>
      <c r="O3" s="309" t="s">
        <v>502</v>
      </c>
      <c r="P3" s="310" t="s">
        <v>501</v>
      </c>
      <c r="Q3" s="310" t="s">
        <v>500</v>
      </c>
    </row>
    <row r="4" spans="1:18" ht="15.95" customHeight="1">
      <c r="A4" s="531" t="s">
        <v>499</v>
      </c>
      <c r="B4" s="312" t="s">
        <v>491</v>
      </c>
      <c r="C4" s="313">
        <f t="shared" ref="C4:Q4" si="0">SUM(C18,C14,C20,C12,C16,C10,C24,C28,C6,C22,C30,C26,C8,C32,C34)</f>
        <v>2565</v>
      </c>
      <c r="D4" s="313">
        <f t="shared" si="0"/>
        <v>2263</v>
      </c>
      <c r="E4" s="313">
        <f t="shared" si="0"/>
        <v>302</v>
      </c>
      <c r="F4" s="313">
        <f t="shared" si="0"/>
        <v>2502</v>
      </c>
      <c r="G4" s="313">
        <f t="shared" si="0"/>
        <v>2236</v>
      </c>
      <c r="H4" s="313">
        <f t="shared" si="0"/>
        <v>266</v>
      </c>
      <c r="I4" s="313">
        <f t="shared" si="0"/>
        <v>2749</v>
      </c>
      <c r="J4" s="313">
        <f t="shared" si="0"/>
        <v>2496</v>
      </c>
      <c r="K4" s="313">
        <f t="shared" si="0"/>
        <v>253</v>
      </c>
      <c r="L4" s="313">
        <f t="shared" si="0"/>
        <v>2177</v>
      </c>
      <c r="M4" s="313">
        <f t="shared" si="0"/>
        <v>1965</v>
      </c>
      <c r="N4" s="314">
        <f t="shared" si="0"/>
        <v>212</v>
      </c>
      <c r="O4" s="314">
        <f t="shared" si="0"/>
        <v>2132</v>
      </c>
      <c r="P4" s="314">
        <f t="shared" si="0"/>
        <v>1944</v>
      </c>
      <c r="Q4" s="314">
        <f t="shared" si="0"/>
        <v>188</v>
      </c>
    </row>
    <row r="5" spans="1:18" ht="15.95" customHeight="1">
      <c r="A5" s="531"/>
      <c r="B5" s="315" t="s">
        <v>121</v>
      </c>
      <c r="C5" s="316">
        <f t="shared" ref="C5:Q5" si="1">SUM(C7,C11,C9,C13,C15,C19,C21,C17,C23,C25,C27,C29,C31,C33,C35)</f>
        <v>100.00000000000001</v>
      </c>
      <c r="D5" s="316">
        <f t="shared" si="1"/>
        <v>100.00000000000001</v>
      </c>
      <c r="E5" s="316">
        <f t="shared" si="1"/>
        <v>100</v>
      </c>
      <c r="F5" s="316">
        <f t="shared" si="1"/>
        <v>100.00000000000001</v>
      </c>
      <c r="G5" s="316">
        <f t="shared" si="1"/>
        <v>100</v>
      </c>
      <c r="H5" s="316">
        <f t="shared" si="1"/>
        <v>100</v>
      </c>
      <c r="I5" s="316">
        <f t="shared" si="1"/>
        <v>100</v>
      </c>
      <c r="J5" s="316">
        <f t="shared" si="1"/>
        <v>100</v>
      </c>
      <c r="K5" s="316">
        <f t="shared" si="1"/>
        <v>99.999999999999986</v>
      </c>
      <c r="L5" s="316">
        <f t="shared" si="1"/>
        <v>100</v>
      </c>
      <c r="M5" s="316">
        <f t="shared" si="1"/>
        <v>100.00000000000001</v>
      </c>
      <c r="N5" s="316">
        <f t="shared" si="1"/>
        <v>100</v>
      </c>
      <c r="O5" s="316">
        <f t="shared" si="1"/>
        <v>100</v>
      </c>
      <c r="P5" s="316">
        <f t="shared" si="1"/>
        <v>100</v>
      </c>
      <c r="Q5" s="316">
        <f t="shared" si="1"/>
        <v>100</v>
      </c>
    </row>
    <row r="6" spans="1:18" ht="15.95" customHeight="1">
      <c r="A6" s="531" t="s">
        <v>224</v>
      </c>
      <c r="B6" s="312" t="s">
        <v>491</v>
      </c>
      <c r="C6" s="313">
        <v>510</v>
      </c>
      <c r="D6" s="313">
        <v>469</v>
      </c>
      <c r="E6" s="313">
        <v>41</v>
      </c>
      <c r="F6" s="313">
        <v>508</v>
      </c>
      <c r="G6" s="313">
        <v>464</v>
      </c>
      <c r="H6" s="313">
        <v>44</v>
      </c>
      <c r="I6" s="313">
        <v>544</v>
      </c>
      <c r="J6" s="313">
        <v>514</v>
      </c>
      <c r="K6" s="313">
        <v>30</v>
      </c>
      <c r="L6" s="313">
        <v>419</v>
      </c>
      <c r="M6" s="313">
        <v>389</v>
      </c>
      <c r="N6" s="313">
        <v>30</v>
      </c>
      <c r="O6" s="313">
        <v>391</v>
      </c>
      <c r="P6" s="313">
        <v>368</v>
      </c>
      <c r="Q6" s="313">
        <v>23</v>
      </c>
    </row>
    <row r="7" spans="1:18" ht="15.95" customHeight="1">
      <c r="A7" s="531"/>
      <c r="B7" s="315" t="s">
        <v>121</v>
      </c>
      <c r="C7" s="316">
        <f t="shared" ref="C7:Q7" si="2">IFERROR(C6/C$4*100,"-")</f>
        <v>19.883040935672515</v>
      </c>
      <c r="D7" s="316">
        <f t="shared" si="2"/>
        <v>20.72470172337605</v>
      </c>
      <c r="E7" s="316">
        <f t="shared" si="2"/>
        <v>13.576158940397351</v>
      </c>
      <c r="F7" s="316">
        <f t="shared" si="2"/>
        <v>20.303756994404477</v>
      </c>
      <c r="G7" s="316">
        <f t="shared" si="2"/>
        <v>20.751341681574239</v>
      </c>
      <c r="H7" s="316">
        <f t="shared" si="2"/>
        <v>16.541353383458645</v>
      </c>
      <c r="I7" s="316">
        <f t="shared" si="2"/>
        <v>19.789014186977084</v>
      </c>
      <c r="J7" s="316">
        <f t="shared" si="2"/>
        <v>20.592948717948715</v>
      </c>
      <c r="K7" s="316">
        <f t="shared" si="2"/>
        <v>11.857707509881422</v>
      </c>
      <c r="L7" s="316">
        <f t="shared" si="2"/>
        <v>19.246669728984841</v>
      </c>
      <c r="M7" s="316">
        <f t="shared" si="2"/>
        <v>19.796437659033078</v>
      </c>
      <c r="N7" s="316">
        <f t="shared" si="2"/>
        <v>14.150943396226415</v>
      </c>
      <c r="O7" s="316">
        <f t="shared" si="2"/>
        <v>18.339587242026269</v>
      </c>
      <c r="P7" s="316">
        <f t="shared" si="2"/>
        <v>18.930041152263374</v>
      </c>
      <c r="Q7" s="316">
        <f t="shared" si="2"/>
        <v>12.23404255319149</v>
      </c>
    </row>
    <row r="8" spans="1:18" ht="15.95" customHeight="1">
      <c r="A8" s="531" t="s">
        <v>223</v>
      </c>
      <c r="B8" s="312" t="s">
        <v>491</v>
      </c>
      <c r="C8" s="313">
        <v>278</v>
      </c>
      <c r="D8" s="313">
        <v>263</v>
      </c>
      <c r="E8" s="313">
        <v>15</v>
      </c>
      <c r="F8" s="313">
        <v>358</v>
      </c>
      <c r="G8" s="313">
        <v>330</v>
      </c>
      <c r="H8" s="313">
        <v>28</v>
      </c>
      <c r="I8" s="313">
        <v>382</v>
      </c>
      <c r="J8" s="313">
        <v>338</v>
      </c>
      <c r="K8" s="313">
        <v>44</v>
      </c>
      <c r="L8" s="313">
        <v>312</v>
      </c>
      <c r="M8" s="313">
        <v>269</v>
      </c>
      <c r="N8" s="313">
        <v>43</v>
      </c>
      <c r="O8" s="313">
        <v>337</v>
      </c>
      <c r="P8" s="313">
        <v>315</v>
      </c>
      <c r="Q8" s="313">
        <v>22</v>
      </c>
    </row>
    <row r="9" spans="1:18" ht="15.95" customHeight="1">
      <c r="A9" s="531"/>
      <c r="B9" s="315" t="s">
        <v>121</v>
      </c>
      <c r="C9" s="316">
        <f t="shared" ref="C9:Q9" si="3">IFERROR(C8/C$4*100,"-")</f>
        <v>10.838206627680313</v>
      </c>
      <c r="D9" s="316">
        <f t="shared" si="3"/>
        <v>11.621741051701282</v>
      </c>
      <c r="E9" s="316">
        <f t="shared" si="3"/>
        <v>4.9668874172185431</v>
      </c>
      <c r="F9" s="316">
        <f t="shared" si="3"/>
        <v>14.308553157474021</v>
      </c>
      <c r="G9" s="316">
        <f t="shared" si="3"/>
        <v>14.75849731663685</v>
      </c>
      <c r="H9" s="316">
        <f t="shared" si="3"/>
        <v>10.526315789473683</v>
      </c>
      <c r="I9" s="316">
        <f t="shared" si="3"/>
        <v>13.895962168061113</v>
      </c>
      <c r="J9" s="316">
        <f t="shared" si="3"/>
        <v>13.541666666666666</v>
      </c>
      <c r="K9" s="316">
        <f t="shared" si="3"/>
        <v>17.391304347826086</v>
      </c>
      <c r="L9" s="316">
        <f t="shared" si="3"/>
        <v>14.331649058337161</v>
      </c>
      <c r="M9" s="316">
        <f t="shared" si="3"/>
        <v>13.689567430025445</v>
      </c>
      <c r="N9" s="316">
        <f t="shared" si="3"/>
        <v>20.283018867924529</v>
      </c>
      <c r="O9" s="316">
        <f t="shared" si="3"/>
        <v>15.806754221388367</v>
      </c>
      <c r="P9" s="316">
        <f t="shared" si="3"/>
        <v>16.203703703703702</v>
      </c>
      <c r="Q9" s="316">
        <f t="shared" si="3"/>
        <v>11.702127659574469</v>
      </c>
    </row>
    <row r="10" spans="1:18" ht="15.95" customHeight="1">
      <c r="A10" s="531" t="s">
        <v>232</v>
      </c>
      <c r="B10" s="312" t="s">
        <v>491</v>
      </c>
      <c r="C10" s="313">
        <v>437</v>
      </c>
      <c r="D10" s="313">
        <v>350</v>
      </c>
      <c r="E10" s="313">
        <v>87</v>
      </c>
      <c r="F10" s="313">
        <v>369</v>
      </c>
      <c r="G10" s="313">
        <v>299</v>
      </c>
      <c r="H10" s="313">
        <v>70</v>
      </c>
      <c r="I10" s="313">
        <v>430</v>
      </c>
      <c r="J10" s="313">
        <v>384</v>
      </c>
      <c r="K10" s="313">
        <v>46</v>
      </c>
      <c r="L10" s="313">
        <v>346</v>
      </c>
      <c r="M10" s="313">
        <v>303</v>
      </c>
      <c r="N10" s="313">
        <v>43</v>
      </c>
      <c r="O10" s="313">
        <v>262</v>
      </c>
      <c r="P10" s="313">
        <v>238</v>
      </c>
      <c r="Q10" s="313">
        <v>24</v>
      </c>
    </row>
    <row r="11" spans="1:18" ht="15.95" customHeight="1">
      <c r="A11" s="531"/>
      <c r="B11" s="315" t="s">
        <v>121</v>
      </c>
      <c r="C11" s="316">
        <f t="shared" ref="C11:Q11" si="4">IFERROR(C10/C$4*100,"-")</f>
        <v>17.037037037037038</v>
      </c>
      <c r="D11" s="316">
        <f t="shared" si="4"/>
        <v>15.466195315952275</v>
      </c>
      <c r="E11" s="316">
        <f t="shared" si="4"/>
        <v>28.807947019867548</v>
      </c>
      <c r="F11" s="316">
        <f t="shared" si="4"/>
        <v>14.748201438848922</v>
      </c>
      <c r="G11" s="316">
        <f t="shared" si="4"/>
        <v>13.372093023255813</v>
      </c>
      <c r="H11" s="316">
        <f t="shared" si="4"/>
        <v>26.315789473684209</v>
      </c>
      <c r="I11" s="316">
        <f t="shared" si="4"/>
        <v>15.642051655147327</v>
      </c>
      <c r="J11" s="316">
        <f t="shared" si="4"/>
        <v>15.384615384615385</v>
      </c>
      <c r="K11" s="316">
        <f t="shared" si="4"/>
        <v>18.181818181818183</v>
      </c>
      <c r="L11" s="316">
        <f t="shared" si="4"/>
        <v>15.893431327514929</v>
      </c>
      <c r="M11" s="316">
        <f t="shared" si="4"/>
        <v>15.419847328244273</v>
      </c>
      <c r="N11" s="316">
        <f t="shared" si="4"/>
        <v>20.283018867924529</v>
      </c>
      <c r="O11" s="316">
        <f t="shared" si="4"/>
        <v>12.288930581613508</v>
      </c>
      <c r="P11" s="316">
        <f t="shared" si="4"/>
        <v>12.242798353909464</v>
      </c>
      <c r="Q11" s="316">
        <f t="shared" si="4"/>
        <v>12.76595744680851</v>
      </c>
    </row>
    <row r="12" spans="1:18" ht="15.95" customHeight="1">
      <c r="A12" s="531" t="s">
        <v>225</v>
      </c>
      <c r="B12" s="312" t="s">
        <v>491</v>
      </c>
      <c r="C12" s="313">
        <v>415</v>
      </c>
      <c r="D12" s="313">
        <v>363</v>
      </c>
      <c r="E12" s="313">
        <v>52</v>
      </c>
      <c r="F12" s="313">
        <v>451</v>
      </c>
      <c r="G12" s="313">
        <v>393</v>
      </c>
      <c r="H12" s="313">
        <v>58</v>
      </c>
      <c r="I12" s="313">
        <v>406</v>
      </c>
      <c r="J12" s="313">
        <v>364</v>
      </c>
      <c r="K12" s="313">
        <v>42</v>
      </c>
      <c r="L12" s="313">
        <v>248</v>
      </c>
      <c r="M12" s="313">
        <v>214</v>
      </c>
      <c r="N12" s="313">
        <v>34</v>
      </c>
      <c r="O12" s="313">
        <v>244</v>
      </c>
      <c r="P12" s="313">
        <v>204</v>
      </c>
      <c r="Q12" s="313">
        <v>40</v>
      </c>
    </row>
    <row r="13" spans="1:18" ht="15.95" customHeight="1">
      <c r="A13" s="531"/>
      <c r="B13" s="315" t="s">
        <v>121</v>
      </c>
      <c r="C13" s="316">
        <f t="shared" ref="C13:Q13" si="5">IFERROR(C12/C$4*100,"-")</f>
        <v>16.179337231968809</v>
      </c>
      <c r="D13" s="316">
        <f t="shared" si="5"/>
        <v>16.040653999116216</v>
      </c>
      <c r="E13" s="316">
        <f t="shared" si="5"/>
        <v>17.218543046357617</v>
      </c>
      <c r="F13" s="316">
        <f t="shared" si="5"/>
        <v>18.025579536370902</v>
      </c>
      <c r="G13" s="316">
        <f t="shared" si="5"/>
        <v>17.576028622540253</v>
      </c>
      <c r="H13" s="316">
        <f t="shared" si="5"/>
        <v>21.804511278195488</v>
      </c>
      <c r="I13" s="316">
        <f t="shared" si="5"/>
        <v>14.769006911604221</v>
      </c>
      <c r="J13" s="316">
        <f t="shared" si="5"/>
        <v>14.583333333333334</v>
      </c>
      <c r="K13" s="316">
        <f t="shared" si="5"/>
        <v>16.600790513833992</v>
      </c>
      <c r="L13" s="316">
        <f t="shared" si="5"/>
        <v>11.391823610473129</v>
      </c>
      <c r="M13" s="316">
        <f t="shared" si="5"/>
        <v>10.89058524173028</v>
      </c>
      <c r="N13" s="316">
        <f t="shared" si="5"/>
        <v>16.037735849056602</v>
      </c>
      <c r="O13" s="316">
        <f t="shared" si="5"/>
        <v>11.444652908067541</v>
      </c>
      <c r="P13" s="316">
        <f t="shared" si="5"/>
        <v>10.493827160493826</v>
      </c>
      <c r="Q13" s="316">
        <f t="shared" si="5"/>
        <v>21.276595744680851</v>
      </c>
    </row>
    <row r="14" spans="1:18" ht="15.95" customHeight="1">
      <c r="A14" s="533" t="s">
        <v>498</v>
      </c>
      <c r="B14" s="312" t="s">
        <v>491</v>
      </c>
      <c r="C14" s="313">
        <v>147</v>
      </c>
      <c r="D14" s="313">
        <v>124</v>
      </c>
      <c r="E14" s="313">
        <v>23</v>
      </c>
      <c r="F14" s="313">
        <v>131</v>
      </c>
      <c r="G14" s="313">
        <v>122</v>
      </c>
      <c r="H14" s="313">
        <v>9</v>
      </c>
      <c r="I14" s="313">
        <v>133</v>
      </c>
      <c r="J14" s="313">
        <v>124</v>
      </c>
      <c r="K14" s="313">
        <v>9</v>
      </c>
      <c r="L14" s="313">
        <v>103</v>
      </c>
      <c r="M14" s="313">
        <v>94</v>
      </c>
      <c r="N14" s="313">
        <v>9</v>
      </c>
      <c r="O14" s="313">
        <v>122</v>
      </c>
      <c r="P14" s="313">
        <v>112</v>
      </c>
      <c r="Q14" s="313">
        <v>10</v>
      </c>
    </row>
    <row r="15" spans="1:18" ht="15.95" customHeight="1">
      <c r="A15" s="533"/>
      <c r="B15" s="315" t="s">
        <v>121</v>
      </c>
      <c r="C15" s="316">
        <f t="shared" ref="C15:Q15" si="6">IFERROR(C14/C$4*100,"-")</f>
        <v>5.730994152046784</v>
      </c>
      <c r="D15" s="316">
        <f t="shared" si="6"/>
        <v>5.4794520547945202</v>
      </c>
      <c r="E15" s="316">
        <f t="shared" si="6"/>
        <v>7.6158940397350996</v>
      </c>
      <c r="F15" s="316">
        <f t="shared" si="6"/>
        <v>5.2358113509192643</v>
      </c>
      <c r="G15" s="316">
        <f t="shared" si="6"/>
        <v>5.4561717352415027</v>
      </c>
      <c r="H15" s="316">
        <f t="shared" si="6"/>
        <v>3.3834586466165413</v>
      </c>
      <c r="I15" s="316">
        <f t="shared" si="6"/>
        <v>4.838122953801383</v>
      </c>
      <c r="J15" s="316">
        <f t="shared" si="6"/>
        <v>4.9679487179487181</v>
      </c>
      <c r="K15" s="316">
        <f t="shared" si="6"/>
        <v>3.5573122529644272</v>
      </c>
      <c r="L15" s="316">
        <f t="shared" si="6"/>
        <v>4.7312815801561783</v>
      </c>
      <c r="M15" s="316">
        <f t="shared" si="6"/>
        <v>4.783715012722646</v>
      </c>
      <c r="N15" s="316">
        <f t="shared" si="6"/>
        <v>4.2452830188679247</v>
      </c>
      <c r="O15" s="316">
        <f t="shared" si="6"/>
        <v>5.7223264540337704</v>
      </c>
      <c r="P15" s="316">
        <f t="shared" si="6"/>
        <v>5.761316872427984</v>
      </c>
      <c r="Q15" s="316">
        <f t="shared" si="6"/>
        <v>5.3191489361702127</v>
      </c>
    </row>
    <row r="16" spans="1:18" ht="15.95" customHeight="1">
      <c r="A16" s="531" t="s">
        <v>229</v>
      </c>
      <c r="B16" s="312" t="s">
        <v>491</v>
      </c>
      <c r="C16" s="313">
        <v>58</v>
      </c>
      <c r="D16" s="313">
        <v>51</v>
      </c>
      <c r="E16" s="313">
        <v>7</v>
      </c>
      <c r="F16" s="313">
        <v>76</v>
      </c>
      <c r="G16" s="313">
        <v>72</v>
      </c>
      <c r="H16" s="313">
        <v>4</v>
      </c>
      <c r="I16" s="313">
        <v>88</v>
      </c>
      <c r="J16" s="313">
        <v>82</v>
      </c>
      <c r="K16" s="313">
        <v>6</v>
      </c>
      <c r="L16" s="313">
        <v>70</v>
      </c>
      <c r="M16" s="313">
        <v>66</v>
      </c>
      <c r="N16" s="313">
        <v>4</v>
      </c>
      <c r="O16" s="313">
        <v>98</v>
      </c>
      <c r="P16" s="313">
        <v>90</v>
      </c>
      <c r="Q16" s="313">
        <v>8</v>
      </c>
    </row>
    <row r="17" spans="1:17" ht="15.95" customHeight="1">
      <c r="A17" s="531"/>
      <c r="B17" s="315" t="s">
        <v>121</v>
      </c>
      <c r="C17" s="316">
        <f t="shared" ref="C17:Q17" si="7">IFERROR(C16/C$4*100,"-")</f>
        <v>2.2612085769980506</v>
      </c>
      <c r="D17" s="316">
        <f t="shared" si="7"/>
        <v>2.2536456031816177</v>
      </c>
      <c r="E17" s="316">
        <f t="shared" si="7"/>
        <v>2.3178807947019866</v>
      </c>
      <c r="F17" s="316">
        <f t="shared" si="7"/>
        <v>3.0375699440447641</v>
      </c>
      <c r="G17" s="316">
        <f t="shared" si="7"/>
        <v>3.2200357781753133</v>
      </c>
      <c r="H17" s="316">
        <f t="shared" si="7"/>
        <v>1.5037593984962405</v>
      </c>
      <c r="I17" s="316">
        <f t="shared" si="7"/>
        <v>3.2011640596580579</v>
      </c>
      <c r="J17" s="316">
        <f t="shared" si="7"/>
        <v>3.2852564102564106</v>
      </c>
      <c r="K17" s="316">
        <f t="shared" si="7"/>
        <v>2.3715415019762842</v>
      </c>
      <c r="L17" s="316">
        <f t="shared" si="7"/>
        <v>3.215434083601286</v>
      </c>
      <c r="M17" s="316">
        <f t="shared" si="7"/>
        <v>3.3587786259541987</v>
      </c>
      <c r="N17" s="316">
        <f t="shared" si="7"/>
        <v>1.8867924528301887</v>
      </c>
      <c r="O17" s="316">
        <f t="shared" si="7"/>
        <v>4.5966228893058156</v>
      </c>
      <c r="P17" s="316">
        <f t="shared" si="7"/>
        <v>4.6296296296296298</v>
      </c>
      <c r="Q17" s="316">
        <f t="shared" si="7"/>
        <v>4.2553191489361701</v>
      </c>
    </row>
    <row r="18" spans="1:17" ht="15.95" customHeight="1">
      <c r="A18" s="534" t="s">
        <v>237</v>
      </c>
      <c r="B18" s="317" t="s">
        <v>491</v>
      </c>
      <c r="C18" s="318">
        <v>106</v>
      </c>
      <c r="D18" s="318">
        <v>103</v>
      </c>
      <c r="E18" s="313">
        <v>3</v>
      </c>
      <c r="F18" s="313">
        <v>78</v>
      </c>
      <c r="G18" s="313">
        <v>75</v>
      </c>
      <c r="H18" s="313">
        <v>3</v>
      </c>
      <c r="I18" s="313">
        <v>104</v>
      </c>
      <c r="J18" s="313">
        <v>99</v>
      </c>
      <c r="K18" s="313">
        <v>5</v>
      </c>
      <c r="L18" s="313">
        <v>102</v>
      </c>
      <c r="M18" s="313">
        <v>101</v>
      </c>
      <c r="N18" s="313">
        <v>1</v>
      </c>
      <c r="O18" s="313">
        <v>71</v>
      </c>
      <c r="P18" s="313">
        <v>70</v>
      </c>
      <c r="Q18" s="313">
        <v>1</v>
      </c>
    </row>
    <row r="19" spans="1:17" ht="15.95" customHeight="1">
      <c r="A19" s="534"/>
      <c r="B19" s="315" t="s">
        <v>121</v>
      </c>
      <c r="C19" s="316">
        <f t="shared" ref="C19:Q19" si="8">IFERROR(C18/C$4*100,"-")</f>
        <v>4.132553606237817</v>
      </c>
      <c r="D19" s="316">
        <f t="shared" si="8"/>
        <v>4.5514803358373834</v>
      </c>
      <c r="E19" s="316">
        <f t="shared" si="8"/>
        <v>0.99337748344370869</v>
      </c>
      <c r="F19" s="316">
        <f t="shared" si="8"/>
        <v>3.1175059952038371</v>
      </c>
      <c r="G19" s="316">
        <f t="shared" si="8"/>
        <v>3.3542039355992843</v>
      </c>
      <c r="H19" s="316">
        <f t="shared" si="8"/>
        <v>1.1278195488721803</v>
      </c>
      <c r="I19" s="316">
        <f t="shared" si="8"/>
        <v>3.7831938886867951</v>
      </c>
      <c r="J19" s="316">
        <f t="shared" si="8"/>
        <v>3.9663461538461537</v>
      </c>
      <c r="K19" s="316">
        <f t="shared" si="8"/>
        <v>1.9762845849802373</v>
      </c>
      <c r="L19" s="316">
        <f t="shared" si="8"/>
        <v>4.6853468075333025</v>
      </c>
      <c r="M19" s="316">
        <f t="shared" si="8"/>
        <v>5.1399491094147587</v>
      </c>
      <c r="N19" s="316">
        <f t="shared" si="8"/>
        <v>0.47169811320754718</v>
      </c>
      <c r="O19" s="316">
        <f t="shared" si="8"/>
        <v>3.3302063789868672</v>
      </c>
      <c r="P19" s="316">
        <f t="shared" si="8"/>
        <v>3.6008230452674899</v>
      </c>
      <c r="Q19" s="316">
        <f t="shared" si="8"/>
        <v>0.53191489361702127</v>
      </c>
    </row>
    <row r="20" spans="1:17" ht="15.95" customHeight="1">
      <c r="A20" s="531" t="s">
        <v>228</v>
      </c>
      <c r="B20" s="312" t="s">
        <v>491</v>
      </c>
      <c r="C20" s="313">
        <v>98</v>
      </c>
      <c r="D20" s="313">
        <v>87</v>
      </c>
      <c r="E20" s="313">
        <v>11</v>
      </c>
      <c r="F20" s="313">
        <v>106</v>
      </c>
      <c r="G20" s="313">
        <v>103</v>
      </c>
      <c r="H20" s="313">
        <v>3</v>
      </c>
      <c r="I20" s="313">
        <v>95</v>
      </c>
      <c r="J20" s="313">
        <v>84</v>
      </c>
      <c r="K20" s="313">
        <v>11</v>
      </c>
      <c r="L20" s="313">
        <v>83</v>
      </c>
      <c r="M20" s="313">
        <v>79</v>
      </c>
      <c r="N20" s="313">
        <v>4</v>
      </c>
      <c r="O20" s="313">
        <v>66</v>
      </c>
      <c r="P20" s="313">
        <v>59</v>
      </c>
      <c r="Q20" s="313">
        <v>7</v>
      </c>
    </row>
    <row r="21" spans="1:17" ht="15.95" customHeight="1">
      <c r="A21" s="531"/>
      <c r="B21" s="315" t="s">
        <v>121</v>
      </c>
      <c r="C21" s="316">
        <f t="shared" ref="C21:Q21" si="9">IFERROR(C20/C$4*100,"-")</f>
        <v>3.8206627680311889</v>
      </c>
      <c r="D21" s="316">
        <f t="shared" si="9"/>
        <v>3.8444542642509938</v>
      </c>
      <c r="E21" s="316">
        <f t="shared" si="9"/>
        <v>3.6423841059602649</v>
      </c>
      <c r="F21" s="316">
        <f t="shared" si="9"/>
        <v>4.2366107114308553</v>
      </c>
      <c r="G21" s="316">
        <f t="shared" si="9"/>
        <v>4.6064400715563512</v>
      </c>
      <c r="H21" s="316">
        <f t="shared" si="9"/>
        <v>1.1278195488721803</v>
      </c>
      <c r="I21" s="316">
        <f t="shared" si="9"/>
        <v>3.4558021098581304</v>
      </c>
      <c r="J21" s="316">
        <f t="shared" si="9"/>
        <v>3.3653846153846154</v>
      </c>
      <c r="K21" s="316">
        <f t="shared" si="9"/>
        <v>4.3478260869565215</v>
      </c>
      <c r="L21" s="316">
        <f t="shared" si="9"/>
        <v>3.8125861276986681</v>
      </c>
      <c r="M21" s="316">
        <f t="shared" si="9"/>
        <v>4.0203562340966918</v>
      </c>
      <c r="N21" s="316">
        <f t="shared" si="9"/>
        <v>1.8867924528301887</v>
      </c>
      <c r="O21" s="316">
        <f t="shared" si="9"/>
        <v>3.095684803001876</v>
      </c>
      <c r="P21" s="316">
        <f t="shared" si="9"/>
        <v>3.0349794238683128</v>
      </c>
      <c r="Q21" s="316">
        <f t="shared" si="9"/>
        <v>3.7234042553191489</v>
      </c>
    </row>
    <row r="22" spans="1:17" ht="15.95" customHeight="1">
      <c r="A22" s="531" t="s">
        <v>497</v>
      </c>
      <c r="B22" s="312" t="s">
        <v>491</v>
      </c>
      <c r="C22" s="313">
        <v>56</v>
      </c>
      <c r="D22" s="313">
        <v>53</v>
      </c>
      <c r="E22" s="313">
        <v>3</v>
      </c>
      <c r="F22" s="313">
        <v>49</v>
      </c>
      <c r="G22" s="313">
        <v>45</v>
      </c>
      <c r="H22" s="313">
        <v>4</v>
      </c>
      <c r="I22" s="313">
        <v>33</v>
      </c>
      <c r="J22" s="313">
        <v>28</v>
      </c>
      <c r="K22" s="313">
        <v>5</v>
      </c>
      <c r="L22" s="313">
        <v>44</v>
      </c>
      <c r="M22" s="313">
        <v>39</v>
      </c>
      <c r="N22" s="313">
        <v>5</v>
      </c>
      <c r="O22" s="313">
        <v>33</v>
      </c>
      <c r="P22" s="313">
        <v>25</v>
      </c>
      <c r="Q22" s="313">
        <v>8</v>
      </c>
    </row>
    <row r="23" spans="1:17" ht="15.95" customHeight="1">
      <c r="A23" s="531"/>
      <c r="B23" s="315" t="s">
        <v>121</v>
      </c>
      <c r="C23" s="316">
        <f t="shared" ref="C23:Q23" si="10">IFERROR(C22/C$4*100,"-")</f>
        <v>2.1832358674463941</v>
      </c>
      <c r="D23" s="316">
        <f t="shared" si="10"/>
        <v>2.3420238621299161</v>
      </c>
      <c r="E23" s="316">
        <f t="shared" si="10"/>
        <v>0.99337748344370869</v>
      </c>
      <c r="F23" s="316">
        <f t="shared" si="10"/>
        <v>1.9584332533972821</v>
      </c>
      <c r="G23" s="316">
        <f t="shared" si="10"/>
        <v>2.0125223613595709</v>
      </c>
      <c r="H23" s="316">
        <f t="shared" si="10"/>
        <v>1.5037593984962405</v>
      </c>
      <c r="I23" s="316">
        <f t="shared" si="10"/>
        <v>1.2004365223717717</v>
      </c>
      <c r="J23" s="316">
        <f t="shared" si="10"/>
        <v>1.1217948717948718</v>
      </c>
      <c r="K23" s="316">
        <f t="shared" si="10"/>
        <v>1.9762845849802373</v>
      </c>
      <c r="L23" s="316">
        <f t="shared" si="10"/>
        <v>2.0211299954065227</v>
      </c>
      <c r="M23" s="316">
        <f t="shared" si="10"/>
        <v>1.9847328244274809</v>
      </c>
      <c r="N23" s="316">
        <f t="shared" si="10"/>
        <v>2.358490566037736</v>
      </c>
      <c r="O23" s="316">
        <f t="shared" si="10"/>
        <v>1.547842401500938</v>
      </c>
      <c r="P23" s="316">
        <f t="shared" si="10"/>
        <v>1.286008230452675</v>
      </c>
      <c r="Q23" s="316">
        <f t="shared" si="10"/>
        <v>4.2553191489361701</v>
      </c>
    </row>
    <row r="24" spans="1:17" ht="15.95" customHeight="1">
      <c r="A24" s="531" t="s">
        <v>496</v>
      </c>
      <c r="B24" s="312" t="s">
        <v>491</v>
      </c>
      <c r="C24" s="313">
        <v>42</v>
      </c>
      <c r="D24" s="313">
        <v>37</v>
      </c>
      <c r="E24" s="313">
        <v>5</v>
      </c>
      <c r="F24" s="313">
        <v>42</v>
      </c>
      <c r="G24" s="313">
        <v>37</v>
      </c>
      <c r="H24" s="313">
        <v>5</v>
      </c>
      <c r="I24" s="313">
        <v>48</v>
      </c>
      <c r="J24" s="313">
        <v>45</v>
      </c>
      <c r="K24" s="313">
        <v>3</v>
      </c>
      <c r="L24" s="313">
        <v>23</v>
      </c>
      <c r="M24" s="313">
        <v>23</v>
      </c>
      <c r="N24" s="313">
        <v>0</v>
      </c>
      <c r="O24" s="313">
        <v>20</v>
      </c>
      <c r="P24" s="313">
        <v>20</v>
      </c>
      <c r="Q24" s="313">
        <v>0</v>
      </c>
    </row>
    <row r="25" spans="1:17" ht="15.95" customHeight="1">
      <c r="A25" s="531"/>
      <c r="B25" s="315" t="s">
        <v>121</v>
      </c>
      <c r="C25" s="316">
        <f t="shared" ref="C25:M25" si="11">IFERROR(C24/C$4*100,"-")</f>
        <v>1.6374269005847955</v>
      </c>
      <c r="D25" s="316">
        <f t="shared" si="11"/>
        <v>1.6349977905435262</v>
      </c>
      <c r="E25" s="316">
        <f t="shared" si="11"/>
        <v>1.6556291390728477</v>
      </c>
      <c r="F25" s="316">
        <f t="shared" si="11"/>
        <v>1.6786570743405276</v>
      </c>
      <c r="G25" s="316">
        <f t="shared" si="11"/>
        <v>1.6547406082289804</v>
      </c>
      <c r="H25" s="316">
        <f t="shared" si="11"/>
        <v>1.8796992481203008</v>
      </c>
      <c r="I25" s="316">
        <f t="shared" si="11"/>
        <v>1.7460894870862129</v>
      </c>
      <c r="J25" s="316">
        <f t="shared" si="11"/>
        <v>1.8028846153846152</v>
      </c>
      <c r="K25" s="316">
        <f t="shared" si="11"/>
        <v>1.1857707509881421</v>
      </c>
      <c r="L25" s="316">
        <f t="shared" si="11"/>
        <v>1.056499770326137</v>
      </c>
      <c r="M25" s="316">
        <f t="shared" si="11"/>
        <v>1.1704834605597965</v>
      </c>
      <c r="N25" s="313">
        <v>0</v>
      </c>
      <c r="O25" s="316">
        <f>IFERROR(O24/O$4*100,"-")</f>
        <v>0.93808630393996251</v>
      </c>
      <c r="P25" s="316">
        <f>IFERROR(P24/P$4*100,"-")</f>
        <v>1.0288065843621399</v>
      </c>
      <c r="Q25" s="313">
        <f>IFERROR(Q24/Q$4*100,"-")</f>
        <v>0</v>
      </c>
    </row>
    <row r="26" spans="1:17" ht="15.95" customHeight="1">
      <c r="A26" s="531" t="s">
        <v>246</v>
      </c>
      <c r="B26" s="312" t="s">
        <v>491</v>
      </c>
      <c r="C26" s="313">
        <v>16</v>
      </c>
      <c r="D26" s="313">
        <v>16</v>
      </c>
      <c r="E26" s="313">
        <v>0</v>
      </c>
      <c r="F26" s="313">
        <v>22</v>
      </c>
      <c r="G26" s="313">
        <v>20</v>
      </c>
      <c r="H26" s="313">
        <v>2</v>
      </c>
      <c r="I26" s="313">
        <v>34</v>
      </c>
      <c r="J26" s="313">
        <v>34</v>
      </c>
      <c r="K26" s="313">
        <v>0</v>
      </c>
      <c r="L26" s="313">
        <v>21</v>
      </c>
      <c r="M26" s="313">
        <v>20</v>
      </c>
      <c r="N26" s="313">
        <v>1</v>
      </c>
      <c r="O26" s="313">
        <v>15</v>
      </c>
      <c r="P26" s="313">
        <v>15</v>
      </c>
      <c r="Q26" s="313">
        <v>0</v>
      </c>
    </row>
    <row r="27" spans="1:17" ht="15.95" customHeight="1">
      <c r="A27" s="531"/>
      <c r="B27" s="315" t="s">
        <v>121</v>
      </c>
      <c r="C27" s="316">
        <f t="shared" ref="C27:J27" si="12">IFERROR(C26/C$4*100,"-")</f>
        <v>0.62378167641325533</v>
      </c>
      <c r="D27" s="316">
        <f t="shared" si="12"/>
        <v>0.70702607158638975</v>
      </c>
      <c r="E27" s="313">
        <f t="shared" si="12"/>
        <v>0</v>
      </c>
      <c r="F27" s="316">
        <f t="shared" si="12"/>
        <v>0.87929656274980017</v>
      </c>
      <c r="G27" s="316">
        <f t="shared" si="12"/>
        <v>0.89445438282647582</v>
      </c>
      <c r="H27" s="316">
        <f t="shared" si="12"/>
        <v>0.75187969924812026</v>
      </c>
      <c r="I27" s="316">
        <f t="shared" si="12"/>
        <v>1.2368133866860678</v>
      </c>
      <c r="J27" s="316">
        <f t="shared" si="12"/>
        <v>1.3621794871794872</v>
      </c>
      <c r="K27" s="313">
        <v>0</v>
      </c>
      <c r="L27" s="316">
        <f>IFERROR(L26/L$4*100,"-")</f>
        <v>0.96463022508038598</v>
      </c>
      <c r="M27" s="316">
        <f>IFERROR(M26/M$4*100,"-")</f>
        <v>1.0178117048346056</v>
      </c>
      <c r="N27" s="316">
        <f>IFERROR(N26/N$4*100,"-")</f>
        <v>0.47169811320754718</v>
      </c>
      <c r="O27" s="316">
        <f>IFERROR(O26/O$4*100,"-")</f>
        <v>0.70356472795497182</v>
      </c>
      <c r="P27" s="316">
        <f>IFERROR(P26/P$4*100,"-")</f>
        <v>0.77160493827160492</v>
      </c>
      <c r="Q27" s="313">
        <v>0</v>
      </c>
    </row>
    <row r="28" spans="1:17" ht="15.95" customHeight="1">
      <c r="A28" s="531" t="s">
        <v>495</v>
      </c>
      <c r="B28" s="312" t="s">
        <v>491</v>
      </c>
      <c r="C28" s="313">
        <v>10</v>
      </c>
      <c r="D28" s="313">
        <v>10</v>
      </c>
      <c r="E28" s="313">
        <v>0</v>
      </c>
      <c r="F28" s="313">
        <v>15</v>
      </c>
      <c r="G28" s="313">
        <v>15</v>
      </c>
      <c r="H28" s="313">
        <v>0</v>
      </c>
      <c r="I28" s="313">
        <v>4</v>
      </c>
      <c r="J28" s="313">
        <v>3</v>
      </c>
      <c r="K28" s="313">
        <v>1</v>
      </c>
      <c r="L28" s="313">
        <v>6</v>
      </c>
      <c r="M28" s="313">
        <v>6</v>
      </c>
      <c r="N28" s="313">
        <v>0</v>
      </c>
      <c r="O28" s="313">
        <v>5</v>
      </c>
      <c r="P28" s="313">
        <v>5</v>
      </c>
      <c r="Q28" s="313">
        <v>0</v>
      </c>
    </row>
    <row r="29" spans="1:17" ht="15.95" customHeight="1">
      <c r="A29" s="531"/>
      <c r="B29" s="315" t="s">
        <v>121</v>
      </c>
      <c r="C29" s="316">
        <f t="shared" ref="C29:M29" si="13">IFERROR(C28/C$4*100,"-")</f>
        <v>0.38986354775828458</v>
      </c>
      <c r="D29" s="316">
        <f t="shared" si="13"/>
        <v>0.44189129474149363</v>
      </c>
      <c r="E29" s="313">
        <f t="shared" si="13"/>
        <v>0</v>
      </c>
      <c r="F29" s="316">
        <f t="shared" si="13"/>
        <v>0.59952038369304561</v>
      </c>
      <c r="G29" s="316">
        <f t="shared" si="13"/>
        <v>0.67084078711985684</v>
      </c>
      <c r="H29" s="313">
        <f t="shared" si="13"/>
        <v>0</v>
      </c>
      <c r="I29" s="316">
        <f t="shared" si="13"/>
        <v>0.14550745725718442</v>
      </c>
      <c r="J29" s="316">
        <f t="shared" si="13"/>
        <v>0.1201923076923077</v>
      </c>
      <c r="K29" s="316">
        <f t="shared" si="13"/>
        <v>0.39525691699604742</v>
      </c>
      <c r="L29" s="316">
        <f t="shared" si="13"/>
        <v>0.27560863573725308</v>
      </c>
      <c r="M29" s="316">
        <f t="shared" si="13"/>
        <v>0.30534351145038169</v>
      </c>
      <c r="N29" s="313">
        <v>0</v>
      </c>
      <c r="O29" s="316">
        <f>IFERROR(O28/O$4*100,"-")</f>
        <v>0.23452157598499063</v>
      </c>
      <c r="P29" s="316">
        <f>IFERROR(P28/P$4*100,"-")</f>
        <v>0.25720164609053497</v>
      </c>
      <c r="Q29" s="313">
        <f>IFERROR(Q28/Q$4*100,"-")</f>
        <v>0</v>
      </c>
    </row>
    <row r="30" spans="1:17" ht="15.95" customHeight="1">
      <c r="A30" s="534" t="s">
        <v>494</v>
      </c>
      <c r="B30" s="312" t="s">
        <v>491</v>
      </c>
      <c r="C30" s="313">
        <v>3</v>
      </c>
      <c r="D30" s="313">
        <v>3</v>
      </c>
      <c r="E30" s="313">
        <v>0</v>
      </c>
      <c r="F30" s="313">
        <v>1</v>
      </c>
      <c r="G30" s="313">
        <v>1</v>
      </c>
      <c r="H30" s="313">
        <v>0</v>
      </c>
      <c r="I30" s="313">
        <v>2</v>
      </c>
      <c r="J30" s="313">
        <v>1</v>
      </c>
      <c r="K30" s="313">
        <v>1</v>
      </c>
      <c r="L30" s="313">
        <v>0</v>
      </c>
      <c r="M30" s="313">
        <v>0</v>
      </c>
      <c r="N30" s="313">
        <v>0</v>
      </c>
      <c r="O30" s="313">
        <v>1</v>
      </c>
      <c r="P30" s="313">
        <v>1</v>
      </c>
      <c r="Q30" s="313">
        <v>0</v>
      </c>
    </row>
    <row r="31" spans="1:17" ht="15.95" customHeight="1">
      <c r="A31" s="534"/>
      <c r="B31" s="315" t="s">
        <v>121</v>
      </c>
      <c r="C31" s="316">
        <f t="shared" ref="C31:K31" si="14">IFERROR(C30/C$4*100,"-")</f>
        <v>0.11695906432748539</v>
      </c>
      <c r="D31" s="316">
        <f t="shared" si="14"/>
        <v>0.13256738842244808</v>
      </c>
      <c r="E31" s="313">
        <f t="shared" si="14"/>
        <v>0</v>
      </c>
      <c r="F31" s="316">
        <f t="shared" si="14"/>
        <v>3.9968025579536368E-2</v>
      </c>
      <c r="G31" s="316">
        <f t="shared" si="14"/>
        <v>4.4722719141323794E-2</v>
      </c>
      <c r="H31" s="313">
        <f t="shared" si="14"/>
        <v>0</v>
      </c>
      <c r="I31" s="316">
        <f t="shared" si="14"/>
        <v>7.275372862859221E-2</v>
      </c>
      <c r="J31" s="316">
        <f t="shared" si="14"/>
        <v>4.0064102564102561E-2</v>
      </c>
      <c r="K31" s="316">
        <f t="shared" si="14"/>
        <v>0.39525691699604742</v>
      </c>
      <c r="L31" s="313">
        <v>0</v>
      </c>
      <c r="M31" s="313">
        <v>0</v>
      </c>
      <c r="N31" s="313">
        <v>0</v>
      </c>
      <c r="O31" s="316">
        <f>O30/O4*100</f>
        <v>4.6904315196998121E-2</v>
      </c>
      <c r="P31" s="316">
        <f t="shared" ref="P31" si="15">P30/P4*100</f>
        <v>5.1440329218106998E-2</v>
      </c>
      <c r="Q31" s="313">
        <v>0</v>
      </c>
    </row>
    <row r="32" spans="1:17" ht="15.95" customHeight="1">
      <c r="A32" s="531" t="s">
        <v>493</v>
      </c>
      <c r="B32" s="312" t="s">
        <v>491</v>
      </c>
      <c r="C32" s="313">
        <v>294</v>
      </c>
      <c r="D32" s="313">
        <v>260</v>
      </c>
      <c r="E32" s="313">
        <v>34</v>
      </c>
      <c r="F32" s="313">
        <v>223</v>
      </c>
      <c r="G32" s="313">
        <v>202</v>
      </c>
      <c r="H32" s="313">
        <v>21</v>
      </c>
      <c r="I32" s="313">
        <v>346</v>
      </c>
      <c r="J32" s="313">
        <v>318</v>
      </c>
      <c r="K32" s="313">
        <v>28</v>
      </c>
      <c r="L32" s="313">
        <v>345</v>
      </c>
      <c r="M32" s="313">
        <v>318</v>
      </c>
      <c r="N32" s="313">
        <v>27</v>
      </c>
      <c r="O32" s="313">
        <v>416</v>
      </c>
      <c r="P32" s="313">
        <v>377</v>
      </c>
      <c r="Q32" s="313">
        <v>39</v>
      </c>
    </row>
    <row r="33" spans="1:17" ht="15.95" customHeight="1">
      <c r="A33" s="531"/>
      <c r="B33" s="315" t="s">
        <v>121</v>
      </c>
      <c r="C33" s="316">
        <f t="shared" ref="C33:Q33" si="16">IFERROR(C32/C$4*100,"-")</f>
        <v>11.461988304093568</v>
      </c>
      <c r="D33" s="316">
        <f t="shared" si="16"/>
        <v>11.489173663278834</v>
      </c>
      <c r="E33" s="316">
        <f t="shared" si="16"/>
        <v>11.258278145695364</v>
      </c>
      <c r="F33" s="316">
        <f t="shared" si="16"/>
        <v>8.912869704236611</v>
      </c>
      <c r="G33" s="316">
        <f t="shared" si="16"/>
        <v>9.0339892665474064</v>
      </c>
      <c r="H33" s="316">
        <f t="shared" si="16"/>
        <v>7.8947368421052628</v>
      </c>
      <c r="I33" s="316">
        <f t="shared" si="16"/>
        <v>12.586395052746452</v>
      </c>
      <c r="J33" s="316">
        <f t="shared" si="16"/>
        <v>12.740384615384615</v>
      </c>
      <c r="K33" s="316">
        <f t="shared" si="16"/>
        <v>11.067193675889328</v>
      </c>
      <c r="L33" s="316">
        <f t="shared" si="16"/>
        <v>15.847496554892054</v>
      </c>
      <c r="M33" s="316">
        <f t="shared" si="16"/>
        <v>16.18320610687023</v>
      </c>
      <c r="N33" s="316">
        <f t="shared" si="16"/>
        <v>12.735849056603774</v>
      </c>
      <c r="O33" s="316">
        <f t="shared" si="16"/>
        <v>19.512195121951219</v>
      </c>
      <c r="P33" s="316">
        <f t="shared" si="16"/>
        <v>19.393004115226336</v>
      </c>
      <c r="Q33" s="316">
        <f t="shared" si="16"/>
        <v>20.74468085106383</v>
      </c>
    </row>
    <row r="34" spans="1:17" ht="15.95" customHeight="1">
      <c r="A34" s="531" t="s">
        <v>492</v>
      </c>
      <c r="B34" s="312" t="s">
        <v>491</v>
      </c>
      <c r="C34" s="313">
        <v>95</v>
      </c>
      <c r="D34" s="313">
        <v>74</v>
      </c>
      <c r="E34" s="313">
        <v>21</v>
      </c>
      <c r="F34" s="313">
        <v>73</v>
      </c>
      <c r="G34" s="313">
        <v>58</v>
      </c>
      <c r="H34" s="313">
        <v>15</v>
      </c>
      <c r="I34" s="313">
        <v>100</v>
      </c>
      <c r="J34" s="313">
        <v>78</v>
      </c>
      <c r="K34" s="313">
        <v>22</v>
      </c>
      <c r="L34" s="313">
        <v>55</v>
      </c>
      <c r="M34" s="313">
        <v>44</v>
      </c>
      <c r="N34" s="313">
        <v>11</v>
      </c>
      <c r="O34" s="313">
        <v>51</v>
      </c>
      <c r="P34" s="313">
        <v>45</v>
      </c>
      <c r="Q34" s="313">
        <v>6</v>
      </c>
    </row>
    <row r="35" spans="1:17" ht="15.95" customHeight="1">
      <c r="A35" s="536"/>
      <c r="B35" s="319" t="s">
        <v>121</v>
      </c>
      <c r="C35" s="320">
        <f t="shared" ref="C35:Q35" si="17">IFERROR(C34/C$4*100,"-")</f>
        <v>3.7037037037037033</v>
      </c>
      <c r="D35" s="320">
        <f t="shared" si="17"/>
        <v>3.2699955810870525</v>
      </c>
      <c r="E35" s="320">
        <f t="shared" si="17"/>
        <v>6.9536423841059598</v>
      </c>
      <c r="F35" s="320">
        <f t="shared" si="17"/>
        <v>2.9176658673061553</v>
      </c>
      <c r="G35" s="320">
        <f t="shared" si="17"/>
        <v>2.5939177101967799</v>
      </c>
      <c r="H35" s="320">
        <f t="shared" si="17"/>
        <v>5.6390977443609023</v>
      </c>
      <c r="I35" s="320">
        <f t="shared" si="17"/>
        <v>3.6376864314296107</v>
      </c>
      <c r="J35" s="320">
        <f t="shared" si="17"/>
        <v>3.125</v>
      </c>
      <c r="K35" s="320">
        <f t="shared" si="17"/>
        <v>8.695652173913043</v>
      </c>
      <c r="L35" s="320">
        <f t="shared" si="17"/>
        <v>2.5264124942581532</v>
      </c>
      <c r="M35" s="320">
        <f t="shared" si="17"/>
        <v>2.2391857506361323</v>
      </c>
      <c r="N35" s="320">
        <f t="shared" si="17"/>
        <v>5.1886792452830193</v>
      </c>
      <c r="O35" s="320">
        <f t="shared" si="17"/>
        <v>2.3921200750469045</v>
      </c>
      <c r="P35" s="320">
        <f t="shared" si="17"/>
        <v>2.3148148148148149</v>
      </c>
      <c r="Q35" s="320">
        <f t="shared" si="17"/>
        <v>3.1914893617021276</v>
      </c>
    </row>
    <row r="36" spans="1:17" ht="14.1" customHeight="1">
      <c r="A36" s="321" t="s">
        <v>450</v>
      </c>
      <c r="B36" s="322"/>
      <c r="C36" s="323"/>
      <c r="D36" s="323"/>
      <c r="E36" s="323"/>
      <c r="F36" s="323"/>
      <c r="G36" s="323"/>
      <c r="H36" s="323"/>
      <c r="I36" s="323"/>
      <c r="J36" s="323"/>
      <c r="K36" s="323"/>
      <c r="L36" s="323"/>
      <c r="M36" s="323"/>
      <c r="N36" s="323"/>
      <c r="O36" s="322"/>
      <c r="P36" s="322"/>
      <c r="Q36" s="322"/>
    </row>
    <row r="37" spans="1:17" ht="14.1" customHeight="1">
      <c r="A37" s="322" t="s">
        <v>490</v>
      </c>
      <c r="B37" s="322"/>
      <c r="C37" s="322"/>
      <c r="D37" s="322"/>
      <c r="E37" s="322"/>
      <c r="F37" s="322"/>
      <c r="G37" s="322"/>
      <c r="H37" s="322"/>
      <c r="I37" s="322"/>
      <c r="J37" s="322"/>
      <c r="K37" s="322"/>
      <c r="L37" s="322"/>
      <c r="M37" s="322"/>
      <c r="N37" s="322"/>
      <c r="O37" s="322"/>
      <c r="P37" s="322"/>
      <c r="Q37" s="322"/>
    </row>
    <row r="38" spans="1:17">
      <c r="A38" s="322" t="s">
        <v>489</v>
      </c>
      <c r="B38" s="324"/>
      <c r="C38" s="324"/>
      <c r="D38" s="324"/>
      <c r="E38" s="324"/>
      <c r="F38" s="324"/>
      <c r="G38" s="324"/>
      <c r="H38" s="324"/>
      <c r="I38" s="325"/>
      <c r="J38" s="325"/>
      <c r="K38" s="325"/>
      <c r="L38" s="325"/>
      <c r="M38" s="325"/>
      <c r="N38" s="325"/>
      <c r="O38" s="322"/>
      <c r="P38" s="322"/>
      <c r="Q38" s="322"/>
    </row>
    <row r="39" spans="1:17">
      <c r="A39" s="326"/>
      <c r="B39" s="326"/>
      <c r="C39" s="326"/>
      <c r="D39" s="326"/>
      <c r="E39" s="326"/>
      <c r="F39" s="326"/>
      <c r="G39" s="326"/>
      <c r="H39" s="326"/>
      <c r="I39" s="326"/>
      <c r="J39" s="326"/>
      <c r="K39" s="326"/>
      <c r="L39" s="326"/>
      <c r="M39" s="326"/>
      <c r="N39" s="326"/>
      <c r="O39" s="326"/>
      <c r="P39" s="326"/>
      <c r="Q39" s="326"/>
    </row>
    <row r="40" spans="1:17">
      <c r="A40" s="326"/>
      <c r="B40" s="326"/>
      <c r="C40" s="327"/>
      <c r="D40" s="316"/>
      <c r="E40" s="316"/>
      <c r="F40" s="316"/>
      <c r="G40" s="316"/>
      <c r="H40" s="316"/>
      <c r="I40" s="316"/>
      <c r="J40" s="316"/>
      <c r="K40" s="316"/>
      <c r="L40" s="316"/>
      <c r="M40" s="316"/>
      <c r="N40" s="316"/>
      <c r="O40" s="316"/>
      <c r="P40" s="316"/>
      <c r="Q40" s="316"/>
    </row>
  </sheetData>
  <mergeCells count="23">
    <mergeCell ref="A30:A31"/>
    <mergeCell ref="A32:A33"/>
    <mergeCell ref="A34:A35"/>
    <mergeCell ref="A2:B3"/>
    <mergeCell ref="C2:E2"/>
    <mergeCell ref="A20:A21"/>
    <mergeCell ref="A16:A17"/>
    <mergeCell ref="A22:A23"/>
    <mergeCell ref="A24:A25"/>
    <mergeCell ref="A26:A27"/>
    <mergeCell ref="A4:A5"/>
    <mergeCell ref="A28:A29"/>
    <mergeCell ref="A6:A7"/>
    <mergeCell ref="A10:A11"/>
    <mergeCell ref="A8:A9"/>
    <mergeCell ref="A12:A13"/>
    <mergeCell ref="A14:A15"/>
    <mergeCell ref="A18:A19"/>
    <mergeCell ref="A1:Q1"/>
    <mergeCell ref="F2:H2"/>
    <mergeCell ref="I2:K2"/>
    <mergeCell ref="L2:N2"/>
    <mergeCell ref="O2:Q2"/>
  </mergeCells>
  <phoneticPr fontId="2" type="noConversion"/>
  <hyperlinks>
    <hyperlink ref="R1" location="本篇表次!A1" display="回本篇表次"/>
  </hyperlinks>
  <pageMargins left="0.7" right="0.7" top="0.75" bottom="0.75" header="0.3" footer="0.3"/>
  <pageSetup paperSize="9"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R14"/>
  <sheetViews>
    <sheetView showGridLines="0" workbookViewId="0">
      <selection sqref="A1:U1"/>
    </sheetView>
  </sheetViews>
  <sheetFormatPr defaultColWidth="9.125" defaultRowHeight="16.5"/>
  <cols>
    <col min="1" max="1" width="21.375" customWidth="1"/>
    <col min="2" max="2" width="6.5" customWidth="1"/>
    <col min="18" max="18" width="12.625" bestFit="1" customWidth="1"/>
  </cols>
  <sheetData>
    <row r="1" spans="1:18" ht="30" customHeight="1">
      <c r="A1" s="541" t="s">
        <v>509</v>
      </c>
      <c r="B1" s="541"/>
      <c r="C1" s="541"/>
      <c r="D1" s="541"/>
      <c r="E1" s="541"/>
      <c r="F1" s="541"/>
      <c r="G1" s="541"/>
      <c r="H1" s="541"/>
      <c r="I1" s="541"/>
      <c r="J1" s="541"/>
      <c r="K1" s="541"/>
      <c r="L1" s="541"/>
      <c r="M1" s="541"/>
      <c r="N1" s="541"/>
      <c r="O1" s="542"/>
      <c r="P1" s="542"/>
      <c r="Q1" s="542"/>
      <c r="R1" s="348" t="s">
        <v>644</v>
      </c>
    </row>
    <row r="2" spans="1:18" ht="30" customHeight="1">
      <c r="A2" s="543"/>
      <c r="B2" s="543"/>
      <c r="C2" s="544" t="s">
        <v>461</v>
      </c>
      <c r="D2" s="544"/>
      <c r="E2" s="544"/>
      <c r="F2" s="544" t="s">
        <v>445</v>
      </c>
      <c r="G2" s="544"/>
      <c r="H2" s="544"/>
      <c r="I2" s="544" t="s">
        <v>214</v>
      </c>
      <c r="J2" s="544"/>
      <c r="K2" s="544"/>
      <c r="L2" s="544" t="s">
        <v>460</v>
      </c>
      <c r="M2" s="544"/>
      <c r="N2" s="544"/>
      <c r="O2" s="544" t="s">
        <v>58</v>
      </c>
      <c r="P2" s="544"/>
      <c r="Q2" s="544"/>
    </row>
    <row r="3" spans="1:18" ht="30" customHeight="1">
      <c r="A3" s="537"/>
      <c r="B3" s="537"/>
      <c r="C3" s="169" t="s">
        <v>475</v>
      </c>
      <c r="D3" s="169" t="s">
        <v>474</v>
      </c>
      <c r="E3" s="169" t="s">
        <v>473</v>
      </c>
      <c r="F3" s="169" t="s">
        <v>475</v>
      </c>
      <c r="G3" s="169" t="s">
        <v>474</v>
      </c>
      <c r="H3" s="169" t="s">
        <v>473</v>
      </c>
      <c r="I3" s="169" t="s">
        <v>475</v>
      </c>
      <c r="J3" s="169" t="s">
        <v>474</v>
      </c>
      <c r="K3" s="169" t="s">
        <v>473</v>
      </c>
      <c r="L3" s="176" t="s">
        <v>475</v>
      </c>
      <c r="M3" s="176" t="s">
        <v>474</v>
      </c>
      <c r="N3" s="176" t="s">
        <v>473</v>
      </c>
      <c r="O3" s="176" t="s">
        <v>475</v>
      </c>
      <c r="P3" s="176" t="s">
        <v>474</v>
      </c>
      <c r="Q3" s="176" t="s">
        <v>473</v>
      </c>
    </row>
    <row r="4" spans="1:18" ht="54" customHeight="1">
      <c r="A4" s="537" t="s">
        <v>508</v>
      </c>
      <c r="B4" s="193" t="s">
        <v>463</v>
      </c>
      <c r="C4" s="181">
        <f t="shared" ref="C4:Q4" si="0">SUM(C6,C8,C10)</f>
        <v>475</v>
      </c>
      <c r="D4" s="181">
        <f t="shared" si="0"/>
        <v>420</v>
      </c>
      <c r="E4" s="181">
        <f t="shared" si="0"/>
        <v>55</v>
      </c>
      <c r="F4" s="181">
        <f t="shared" si="0"/>
        <v>473</v>
      </c>
      <c r="G4" s="181">
        <f t="shared" si="0"/>
        <v>402</v>
      </c>
      <c r="H4" s="181">
        <f t="shared" si="0"/>
        <v>71</v>
      </c>
      <c r="I4" s="181">
        <f t="shared" si="0"/>
        <v>475</v>
      </c>
      <c r="J4" s="181">
        <f t="shared" si="0"/>
        <v>430</v>
      </c>
      <c r="K4" s="181">
        <f t="shared" si="0"/>
        <v>45</v>
      </c>
      <c r="L4" s="181">
        <f t="shared" si="0"/>
        <v>362</v>
      </c>
      <c r="M4" s="181">
        <f t="shared" si="0"/>
        <v>331</v>
      </c>
      <c r="N4" s="185">
        <f t="shared" si="0"/>
        <v>31</v>
      </c>
      <c r="O4" s="181">
        <f t="shared" si="0"/>
        <v>405</v>
      </c>
      <c r="P4" s="181">
        <f t="shared" si="0"/>
        <v>378</v>
      </c>
      <c r="Q4" s="185">
        <f t="shared" si="0"/>
        <v>27</v>
      </c>
    </row>
    <row r="5" spans="1:18" ht="54" customHeight="1">
      <c r="A5" s="537"/>
      <c r="B5" s="184" t="s">
        <v>121</v>
      </c>
      <c r="C5" s="183">
        <f t="shared" ref="C5:Q5" si="1">SUM(C7,C9,C11)</f>
        <v>100.00000000000001</v>
      </c>
      <c r="D5" s="183">
        <f t="shared" si="1"/>
        <v>99.999999999999986</v>
      </c>
      <c r="E5" s="183">
        <f t="shared" si="1"/>
        <v>100</v>
      </c>
      <c r="F5" s="183">
        <f t="shared" si="1"/>
        <v>100</v>
      </c>
      <c r="G5" s="183">
        <f t="shared" si="1"/>
        <v>100</v>
      </c>
      <c r="H5" s="183">
        <f t="shared" si="1"/>
        <v>100</v>
      </c>
      <c r="I5" s="183">
        <f t="shared" si="1"/>
        <v>100</v>
      </c>
      <c r="J5" s="183">
        <f t="shared" si="1"/>
        <v>100</v>
      </c>
      <c r="K5" s="183">
        <f t="shared" si="1"/>
        <v>100</v>
      </c>
      <c r="L5" s="183">
        <f t="shared" si="1"/>
        <v>100</v>
      </c>
      <c r="M5" s="183">
        <f t="shared" si="1"/>
        <v>100</v>
      </c>
      <c r="N5" s="183">
        <f t="shared" si="1"/>
        <v>100</v>
      </c>
      <c r="O5" s="183">
        <f t="shared" si="1"/>
        <v>100</v>
      </c>
      <c r="P5" s="183">
        <f t="shared" si="1"/>
        <v>100</v>
      </c>
      <c r="Q5" s="183">
        <f t="shared" si="1"/>
        <v>100</v>
      </c>
    </row>
    <row r="6" spans="1:18" ht="54" customHeight="1">
      <c r="A6" s="537" t="s">
        <v>507</v>
      </c>
      <c r="B6" s="193" t="s">
        <v>463</v>
      </c>
      <c r="C6" s="181">
        <v>163</v>
      </c>
      <c r="D6" s="181">
        <v>108</v>
      </c>
      <c r="E6" s="181">
        <v>55</v>
      </c>
      <c r="F6" s="181">
        <v>209</v>
      </c>
      <c r="G6" s="181">
        <v>138</v>
      </c>
      <c r="H6" s="181">
        <v>71</v>
      </c>
      <c r="I6" s="181">
        <v>172</v>
      </c>
      <c r="J6" s="181">
        <v>127</v>
      </c>
      <c r="K6" s="181">
        <v>45</v>
      </c>
      <c r="L6" s="181">
        <v>141</v>
      </c>
      <c r="M6" s="181">
        <v>110</v>
      </c>
      <c r="N6" s="181">
        <v>31</v>
      </c>
      <c r="O6" s="181">
        <v>154</v>
      </c>
      <c r="P6" s="181">
        <v>127</v>
      </c>
      <c r="Q6" s="181">
        <v>27</v>
      </c>
    </row>
    <row r="7" spans="1:18" ht="54" customHeight="1">
      <c r="A7" s="537"/>
      <c r="B7" s="184" t="s">
        <v>121</v>
      </c>
      <c r="C7" s="183">
        <f t="shared" ref="C7:Q7" si="2">IFERROR(C6/C$4*100,"-")</f>
        <v>34.315789473684212</v>
      </c>
      <c r="D7" s="183">
        <f t="shared" si="2"/>
        <v>25.714285714285712</v>
      </c>
      <c r="E7" s="183">
        <f t="shared" si="2"/>
        <v>100</v>
      </c>
      <c r="F7" s="183">
        <f t="shared" si="2"/>
        <v>44.186046511627907</v>
      </c>
      <c r="G7" s="183">
        <f t="shared" si="2"/>
        <v>34.328358208955223</v>
      </c>
      <c r="H7" s="183">
        <f t="shared" si="2"/>
        <v>100</v>
      </c>
      <c r="I7" s="183">
        <f t="shared" si="2"/>
        <v>36.21052631578948</v>
      </c>
      <c r="J7" s="183">
        <f t="shared" si="2"/>
        <v>29.534883720930232</v>
      </c>
      <c r="K7" s="183">
        <f t="shared" si="2"/>
        <v>100</v>
      </c>
      <c r="L7" s="183">
        <f t="shared" si="2"/>
        <v>38.950276243093924</v>
      </c>
      <c r="M7" s="183">
        <f t="shared" si="2"/>
        <v>33.23262839879154</v>
      </c>
      <c r="N7" s="183">
        <f t="shared" si="2"/>
        <v>100</v>
      </c>
      <c r="O7" s="183">
        <f t="shared" si="2"/>
        <v>38.02469135802469</v>
      </c>
      <c r="P7" s="183">
        <f t="shared" si="2"/>
        <v>33.597883597883602</v>
      </c>
      <c r="Q7" s="183">
        <f t="shared" si="2"/>
        <v>100</v>
      </c>
    </row>
    <row r="8" spans="1:18" ht="54" customHeight="1">
      <c r="A8" s="537" t="s">
        <v>506</v>
      </c>
      <c r="B8" s="193" t="s">
        <v>463</v>
      </c>
      <c r="C8" s="181">
        <v>172</v>
      </c>
      <c r="D8" s="181">
        <v>172</v>
      </c>
      <c r="E8" s="181" t="s">
        <v>77</v>
      </c>
      <c r="F8" s="181">
        <v>155</v>
      </c>
      <c r="G8" s="181">
        <v>155</v>
      </c>
      <c r="H8" s="181" t="s">
        <v>77</v>
      </c>
      <c r="I8" s="181">
        <v>197</v>
      </c>
      <c r="J8" s="181">
        <v>197</v>
      </c>
      <c r="K8" s="181" t="s">
        <v>77</v>
      </c>
      <c r="L8" s="181">
        <v>120</v>
      </c>
      <c r="M8" s="181">
        <v>120</v>
      </c>
      <c r="N8" s="181" t="s">
        <v>77</v>
      </c>
      <c r="O8" s="181">
        <v>152</v>
      </c>
      <c r="P8" s="181">
        <v>152</v>
      </c>
      <c r="Q8" s="181" t="s">
        <v>280</v>
      </c>
    </row>
    <row r="9" spans="1:18" ht="54" customHeight="1">
      <c r="A9" s="537"/>
      <c r="B9" s="184" t="s">
        <v>121</v>
      </c>
      <c r="C9" s="183">
        <f t="shared" ref="C9:Q9" si="3">IFERROR(C8/C$4*100,"-")</f>
        <v>36.21052631578948</v>
      </c>
      <c r="D9" s="183">
        <f t="shared" si="3"/>
        <v>40.952380952380949</v>
      </c>
      <c r="E9" s="183" t="str">
        <f t="shared" si="3"/>
        <v>-</v>
      </c>
      <c r="F9" s="183">
        <f t="shared" si="3"/>
        <v>32.76955602536998</v>
      </c>
      <c r="G9" s="183">
        <f t="shared" si="3"/>
        <v>38.557213930348261</v>
      </c>
      <c r="H9" s="183" t="str">
        <f t="shared" si="3"/>
        <v>-</v>
      </c>
      <c r="I9" s="183">
        <f t="shared" si="3"/>
        <v>41.473684210526315</v>
      </c>
      <c r="J9" s="183">
        <f t="shared" si="3"/>
        <v>45.813953488372093</v>
      </c>
      <c r="K9" s="183" t="str">
        <f t="shared" si="3"/>
        <v>-</v>
      </c>
      <c r="L9" s="183">
        <f t="shared" si="3"/>
        <v>33.149171270718227</v>
      </c>
      <c r="M9" s="183">
        <f t="shared" si="3"/>
        <v>36.253776435045317</v>
      </c>
      <c r="N9" s="183" t="str">
        <f t="shared" si="3"/>
        <v>-</v>
      </c>
      <c r="O9" s="183">
        <f t="shared" si="3"/>
        <v>37.530864197530867</v>
      </c>
      <c r="P9" s="183">
        <f t="shared" si="3"/>
        <v>40.211640211640209</v>
      </c>
      <c r="Q9" s="183" t="str">
        <f t="shared" si="3"/>
        <v>-</v>
      </c>
    </row>
    <row r="10" spans="1:18" ht="54" customHeight="1">
      <c r="A10" s="537" t="s">
        <v>505</v>
      </c>
      <c r="B10" s="193" t="s">
        <v>463</v>
      </c>
      <c r="C10" s="181">
        <v>140</v>
      </c>
      <c r="D10" s="181">
        <v>140</v>
      </c>
      <c r="E10" s="181" t="s">
        <v>77</v>
      </c>
      <c r="F10" s="181">
        <v>109</v>
      </c>
      <c r="G10" s="181">
        <v>109</v>
      </c>
      <c r="H10" s="181" t="s">
        <v>77</v>
      </c>
      <c r="I10" s="181">
        <v>106</v>
      </c>
      <c r="J10" s="181">
        <v>106</v>
      </c>
      <c r="K10" s="181" t="s">
        <v>77</v>
      </c>
      <c r="L10" s="181">
        <v>101</v>
      </c>
      <c r="M10" s="181">
        <v>101</v>
      </c>
      <c r="N10" s="181" t="s">
        <v>77</v>
      </c>
      <c r="O10" s="181">
        <v>99</v>
      </c>
      <c r="P10" s="181">
        <v>99</v>
      </c>
      <c r="Q10" s="181" t="s">
        <v>280</v>
      </c>
    </row>
    <row r="11" spans="1:18" ht="54" customHeight="1">
      <c r="A11" s="538"/>
      <c r="B11" s="180" t="s">
        <v>121</v>
      </c>
      <c r="C11" s="179">
        <f t="shared" ref="C11:Q11" si="4">IFERROR(C10/C$4*100,"-")</f>
        <v>29.473684210526311</v>
      </c>
      <c r="D11" s="179">
        <f t="shared" si="4"/>
        <v>33.333333333333329</v>
      </c>
      <c r="E11" s="179" t="str">
        <f t="shared" si="4"/>
        <v>-</v>
      </c>
      <c r="F11" s="179">
        <f t="shared" si="4"/>
        <v>23.044397463002113</v>
      </c>
      <c r="G11" s="179">
        <f t="shared" si="4"/>
        <v>27.114427860696516</v>
      </c>
      <c r="H11" s="179" t="str">
        <f t="shared" si="4"/>
        <v>-</v>
      </c>
      <c r="I11" s="179">
        <f t="shared" si="4"/>
        <v>22.315789473684212</v>
      </c>
      <c r="J11" s="179">
        <f t="shared" si="4"/>
        <v>24.651162790697676</v>
      </c>
      <c r="K11" s="179" t="str">
        <f t="shared" si="4"/>
        <v>-</v>
      </c>
      <c r="L11" s="179">
        <f t="shared" si="4"/>
        <v>27.900552486187845</v>
      </c>
      <c r="M11" s="179">
        <f t="shared" si="4"/>
        <v>30.513595166163142</v>
      </c>
      <c r="N11" s="179" t="str">
        <f t="shared" si="4"/>
        <v>-</v>
      </c>
      <c r="O11" s="179">
        <f t="shared" si="4"/>
        <v>24.444444444444443</v>
      </c>
      <c r="P11" s="179">
        <f t="shared" si="4"/>
        <v>26.190476190476193</v>
      </c>
      <c r="Q11" s="179" t="str">
        <f t="shared" si="4"/>
        <v>-</v>
      </c>
    </row>
    <row r="12" spans="1:18">
      <c r="A12" s="192" t="s">
        <v>450</v>
      </c>
      <c r="B12" s="178"/>
      <c r="C12" s="191"/>
      <c r="D12" s="191"/>
      <c r="E12" s="191"/>
      <c r="F12" s="191"/>
      <c r="G12" s="191"/>
      <c r="H12" s="191"/>
      <c r="I12" s="191"/>
      <c r="J12" s="191"/>
      <c r="K12" s="191"/>
      <c r="L12" s="178"/>
      <c r="M12" s="178"/>
      <c r="N12" s="178"/>
      <c r="O12" s="178"/>
      <c r="P12" s="178"/>
      <c r="Q12" s="178"/>
    </row>
    <row r="13" spans="1:18" ht="39.950000000000003" customHeight="1">
      <c r="A13" s="539" t="s">
        <v>504</v>
      </c>
      <c r="B13" s="540"/>
      <c r="C13" s="540"/>
      <c r="D13" s="540"/>
      <c r="E13" s="540"/>
      <c r="F13" s="540"/>
      <c r="G13" s="540"/>
      <c r="H13" s="540"/>
      <c r="I13" s="540"/>
      <c r="J13" s="540"/>
      <c r="K13" s="540"/>
      <c r="L13" s="540"/>
      <c r="M13" s="540"/>
      <c r="N13" s="540"/>
      <c r="O13" s="540"/>
      <c r="P13" s="540"/>
      <c r="Q13" s="540"/>
    </row>
    <row r="14" spans="1:18">
      <c r="D14" s="282"/>
      <c r="E14" s="282"/>
      <c r="F14" s="282"/>
      <c r="G14" s="282"/>
      <c r="H14" s="282"/>
      <c r="I14" s="282"/>
      <c r="J14" s="282"/>
      <c r="K14" s="282"/>
      <c r="L14" s="282"/>
      <c r="M14" s="282"/>
      <c r="N14" s="282"/>
      <c r="O14" s="282"/>
      <c r="P14" s="282"/>
      <c r="Q14" s="282"/>
    </row>
  </sheetData>
  <mergeCells count="12">
    <mergeCell ref="A10:A11"/>
    <mergeCell ref="A13:Q13"/>
    <mergeCell ref="A1:Q1"/>
    <mergeCell ref="A2:B3"/>
    <mergeCell ref="C2:E2"/>
    <mergeCell ref="F2:H2"/>
    <mergeCell ref="I2:K2"/>
    <mergeCell ref="L2:N2"/>
    <mergeCell ref="O2:Q2"/>
    <mergeCell ref="A4:A5"/>
    <mergeCell ref="A6:A7"/>
    <mergeCell ref="A8:A9"/>
  </mergeCells>
  <phoneticPr fontId="2" type="noConversion"/>
  <hyperlinks>
    <hyperlink ref="R1" location="本篇表次!A1" display="回本篇表次"/>
  </hyperlinks>
  <pageMargins left="0.7" right="0.7" top="0.75" bottom="0.75"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R16"/>
  <sheetViews>
    <sheetView showGridLines="0" workbookViewId="0">
      <selection sqref="A1:U1"/>
    </sheetView>
  </sheetViews>
  <sheetFormatPr defaultColWidth="8.875" defaultRowHeight="16.5"/>
  <cols>
    <col min="1" max="1" width="21.375" customWidth="1"/>
    <col min="2" max="2" width="6.375" customWidth="1"/>
    <col min="18" max="18" width="12.625" bestFit="1" customWidth="1"/>
  </cols>
  <sheetData>
    <row r="1" spans="1:18" ht="30" customHeight="1">
      <c r="A1" s="541" t="s">
        <v>665</v>
      </c>
      <c r="B1" s="541"/>
      <c r="C1" s="541"/>
      <c r="D1" s="541"/>
      <c r="E1" s="541"/>
      <c r="F1" s="541"/>
      <c r="G1" s="541"/>
      <c r="H1" s="541"/>
      <c r="I1" s="541"/>
      <c r="J1" s="541"/>
      <c r="K1" s="541"/>
      <c r="L1" s="541"/>
      <c r="M1" s="541"/>
      <c r="N1" s="541"/>
      <c r="O1" s="542"/>
      <c r="P1" s="542"/>
      <c r="Q1" s="542"/>
      <c r="R1" s="348" t="s">
        <v>644</v>
      </c>
    </row>
    <row r="2" spans="1:18" ht="30" customHeight="1">
      <c r="A2" s="543"/>
      <c r="B2" s="543"/>
      <c r="C2" s="544" t="s">
        <v>461</v>
      </c>
      <c r="D2" s="544"/>
      <c r="E2" s="544"/>
      <c r="F2" s="544" t="s">
        <v>445</v>
      </c>
      <c r="G2" s="544"/>
      <c r="H2" s="544"/>
      <c r="I2" s="544" t="s">
        <v>214</v>
      </c>
      <c r="J2" s="544"/>
      <c r="K2" s="544"/>
      <c r="L2" s="544" t="s">
        <v>460</v>
      </c>
      <c r="M2" s="544"/>
      <c r="N2" s="544"/>
      <c r="O2" s="544" t="s">
        <v>58</v>
      </c>
      <c r="P2" s="544"/>
      <c r="Q2" s="544"/>
    </row>
    <row r="3" spans="1:18" ht="30" customHeight="1">
      <c r="A3" s="537"/>
      <c r="B3" s="537"/>
      <c r="C3" s="169" t="s">
        <v>475</v>
      </c>
      <c r="D3" s="169" t="s">
        <v>474</v>
      </c>
      <c r="E3" s="169" t="s">
        <v>473</v>
      </c>
      <c r="F3" s="169" t="s">
        <v>475</v>
      </c>
      <c r="G3" s="169" t="s">
        <v>474</v>
      </c>
      <c r="H3" s="169" t="s">
        <v>473</v>
      </c>
      <c r="I3" s="169" t="s">
        <v>475</v>
      </c>
      <c r="J3" s="169" t="s">
        <v>474</v>
      </c>
      <c r="K3" s="169" t="s">
        <v>473</v>
      </c>
      <c r="L3" s="176" t="s">
        <v>475</v>
      </c>
      <c r="M3" s="176" t="s">
        <v>474</v>
      </c>
      <c r="N3" s="176" t="s">
        <v>473</v>
      </c>
      <c r="O3" s="176" t="s">
        <v>475</v>
      </c>
      <c r="P3" s="176" t="s">
        <v>474</v>
      </c>
      <c r="Q3" s="176" t="s">
        <v>473</v>
      </c>
    </row>
    <row r="4" spans="1:18" ht="44.1" customHeight="1">
      <c r="A4" s="537" t="s">
        <v>472</v>
      </c>
      <c r="B4" s="193" t="s">
        <v>512</v>
      </c>
      <c r="C4" s="181">
        <v>739</v>
      </c>
      <c r="D4" s="181">
        <v>619</v>
      </c>
      <c r="E4" s="181">
        <v>120</v>
      </c>
      <c r="F4" s="181">
        <v>589</v>
      </c>
      <c r="G4" s="181">
        <v>505</v>
      </c>
      <c r="H4" s="181">
        <v>84</v>
      </c>
      <c r="I4" s="181">
        <v>415</v>
      </c>
      <c r="J4" s="181">
        <v>354</v>
      </c>
      <c r="K4" s="181">
        <v>61</v>
      </c>
      <c r="L4" s="181">
        <v>424</v>
      </c>
      <c r="M4" s="181">
        <v>377</v>
      </c>
      <c r="N4" s="181">
        <v>47</v>
      </c>
      <c r="O4" s="181">
        <v>424</v>
      </c>
      <c r="P4" s="181">
        <v>381</v>
      </c>
      <c r="Q4" s="181">
        <v>43</v>
      </c>
    </row>
    <row r="5" spans="1:18" ht="44.1" customHeight="1">
      <c r="A5" s="537"/>
      <c r="B5" s="184" t="s">
        <v>511</v>
      </c>
      <c r="C5" s="183">
        <v>100</v>
      </c>
      <c r="D5" s="183">
        <v>100</v>
      </c>
      <c r="E5" s="183">
        <v>100</v>
      </c>
      <c r="F5" s="183">
        <v>100</v>
      </c>
      <c r="G5" s="183">
        <v>100</v>
      </c>
      <c r="H5" s="183">
        <v>100</v>
      </c>
      <c r="I5" s="183">
        <v>100</v>
      </c>
      <c r="J5" s="183">
        <v>100</v>
      </c>
      <c r="K5" s="183">
        <v>100</v>
      </c>
      <c r="L5" s="183">
        <v>100.00000000000001</v>
      </c>
      <c r="M5" s="183">
        <v>100</v>
      </c>
      <c r="N5" s="183">
        <v>100</v>
      </c>
      <c r="O5" s="183">
        <v>100</v>
      </c>
      <c r="P5" s="183">
        <v>100</v>
      </c>
      <c r="Q5" s="183">
        <v>100</v>
      </c>
    </row>
    <row r="6" spans="1:18" ht="44.1" customHeight="1">
      <c r="A6" s="547" t="s">
        <v>507</v>
      </c>
      <c r="B6" s="193" t="s">
        <v>512</v>
      </c>
      <c r="C6" s="181">
        <v>328</v>
      </c>
      <c r="D6" s="181">
        <v>208</v>
      </c>
      <c r="E6" s="181">
        <v>120</v>
      </c>
      <c r="F6" s="181">
        <v>222</v>
      </c>
      <c r="G6" s="181">
        <v>138</v>
      </c>
      <c r="H6" s="181">
        <v>84</v>
      </c>
      <c r="I6" s="181">
        <v>158</v>
      </c>
      <c r="J6" s="181">
        <v>97</v>
      </c>
      <c r="K6" s="181">
        <v>61</v>
      </c>
      <c r="L6" s="181">
        <v>170</v>
      </c>
      <c r="M6" s="181">
        <v>123</v>
      </c>
      <c r="N6" s="181">
        <v>47</v>
      </c>
      <c r="O6" s="181">
        <v>162</v>
      </c>
      <c r="P6" s="181">
        <v>119</v>
      </c>
      <c r="Q6" s="181">
        <v>43</v>
      </c>
    </row>
    <row r="7" spans="1:18" ht="44.1" customHeight="1">
      <c r="A7" s="551"/>
      <c r="B7" s="184" t="s">
        <v>511</v>
      </c>
      <c r="C7" s="183">
        <v>44.384303112313937</v>
      </c>
      <c r="D7" s="183">
        <v>33.602584814216478</v>
      </c>
      <c r="E7" s="183">
        <v>100</v>
      </c>
      <c r="F7" s="183">
        <v>37.691001697792871</v>
      </c>
      <c r="G7" s="183">
        <v>27.32673267326733</v>
      </c>
      <c r="H7" s="183">
        <v>100</v>
      </c>
      <c r="I7" s="183">
        <v>38.072289156626503</v>
      </c>
      <c r="J7" s="183">
        <v>27.401129943502823</v>
      </c>
      <c r="K7" s="183">
        <v>100</v>
      </c>
      <c r="L7" s="183">
        <v>40.094339622641513</v>
      </c>
      <c r="M7" s="183">
        <v>32.625994694960212</v>
      </c>
      <c r="N7" s="183">
        <v>100</v>
      </c>
      <c r="O7" s="183">
        <v>38.20754716981132</v>
      </c>
      <c r="P7" s="183">
        <v>31.233595800524931</v>
      </c>
      <c r="Q7" s="183">
        <v>100</v>
      </c>
    </row>
    <row r="8" spans="1:18" ht="44.1" customHeight="1">
      <c r="A8" s="547" t="s">
        <v>506</v>
      </c>
      <c r="B8" s="193" t="s">
        <v>512</v>
      </c>
      <c r="C8" s="181">
        <v>261</v>
      </c>
      <c r="D8" s="181">
        <v>261</v>
      </c>
      <c r="E8" s="181" t="s">
        <v>77</v>
      </c>
      <c r="F8" s="195">
        <v>236</v>
      </c>
      <c r="G8" s="195">
        <v>236</v>
      </c>
      <c r="H8" s="195" t="s">
        <v>280</v>
      </c>
      <c r="I8" s="181">
        <v>137</v>
      </c>
      <c r="J8" s="181">
        <v>137</v>
      </c>
      <c r="K8" s="181" t="s">
        <v>77</v>
      </c>
      <c r="L8" s="181">
        <v>115</v>
      </c>
      <c r="M8" s="181">
        <v>115</v>
      </c>
      <c r="N8" s="181" t="s">
        <v>77</v>
      </c>
      <c r="O8" s="181">
        <v>136</v>
      </c>
      <c r="P8" s="181">
        <v>136</v>
      </c>
      <c r="Q8" s="181">
        <v>0</v>
      </c>
    </row>
    <row r="9" spans="1:18" ht="44.1" customHeight="1">
      <c r="A9" s="548"/>
      <c r="B9" s="338" t="s">
        <v>511</v>
      </c>
      <c r="C9" s="339">
        <v>35.317997293640055</v>
      </c>
      <c r="D9" s="339">
        <v>42.164781906300483</v>
      </c>
      <c r="E9" s="339" t="s">
        <v>77</v>
      </c>
      <c r="F9" s="339">
        <v>40.067911714770801</v>
      </c>
      <c r="G9" s="339">
        <v>46.732673267326739</v>
      </c>
      <c r="H9" s="339" t="s">
        <v>77</v>
      </c>
      <c r="I9" s="339">
        <v>33.012048192771083</v>
      </c>
      <c r="J9" s="339">
        <v>38.700564971751412</v>
      </c>
      <c r="K9" s="339" t="s">
        <v>77</v>
      </c>
      <c r="L9" s="339">
        <v>27.122641509433965</v>
      </c>
      <c r="M9" s="339">
        <v>30.50397877984085</v>
      </c>
      <c r="N9" s="339" t="s">
        <v>77</v>
      </c>
      <c r="O9" s="339">
        <v>32.075471698113205</v>
      </c>
      <c r="P9" s="339">
        <v>35.69553805774278</v>
      </c>
      <c r="Q9" s="340">
        <v>0</v>
      </c>
    </row>
    <row r="10" spans="1:18" ht="44.1" customHeight="1">
      <c r="A10" s="545" t="s">
        <v>505</v>
      </c>
      <c r="B10" s="341" t="s">
        <v>512</v>
      </c>
      <c r="C10" s="340">
        <v>150</v>
      </c>
      <c r="D10" s="340">
        <v>150</v>
      </c>
      <c r="E10" s="340" t="s">
        <v>77</v>
      </c>
      <c r="F10" s="340">
        <v>131</v>
      </c>
      <c r="G10" s="340">
        <v>131</v>
      </c>
      <c r="H10" s="340" t="s">
        <v>77</v>
      </c>
      <c r="I10" s="340">
        <v>120</v>
      </c>
      <c r="J10" s="340">
        <v>120</v>
      </c>
      <c r="K10" s="340" t="s">
        <v>77</v>
      </c>
      <c r="L10" s="340">
        <v>139</v>
      </c>
      <c r="M10" s="340">
        <v>139</v>
      </c>
      <c r="N10" s="340" t="s">
        <v>77</v>
      </c>
      <c r="O10" s="340">
        <v>126</v>
      </c>
      <c r="P10" s="340">
        <v>126</v>
      </c>
      <c r="Q10" s="340">
        <v>0</v>
      </c>
    </row>
    <row r="11" spans="1:18" ht="44.1" customHeight="1">
      <c r="A11" s="546"/>
      <c r="B11" s="180" t="s">
        <v>511</v>
      </c>
      <c r="C11" s="179">
        <v>20.297699594046009</v>
      </c>
      <c r="D11" s="179">
        <v>24.232633279483036</v>
      </c>
      <c r="E11" s="179" t="s">
        <v>77</v>
      </c>
      <c r="F11" s="179">
        <v>22.241086587436332</v>
      </c>
      <c r="G11" s="179">
        <v>25.940594059405942</v>
      </c>
      <c r="H11" s="179" t="s">
        <v>77</v>
      </c>
      <c r="I11" s="179">
        <v>28.915662650602407</v>
      </c>
      <c r="J11" s="179">
        <v>33.898305084745758</v>
      </c>
      <c r="K11" s="179" t="s">
        <v>77</v>
      </c>
      <c r="L11" s="179">
        <v>32.783018867924532</v>
      </c>
      <c r="M11" s="179">
        <v>36.870026525198938</v>
      </c>
      <c r="N11" s="179" t="s">
        <v>77</v>
      </c>
      <c r="O11" s="179">
        <v>29.716981132075471</v>
      </c>
      <c r="P11" s="179">
        <v>33.070866141732289</v>
      </c>
      <c r="Q11" s="194">
        <v>0</v>
      </c>
    </row>
    <row r="12" spans="1:18" ht="12.95" customHeight="1">
      <c r="A12" s="549" t="s">
        <v>462</v>
      </c>
      <c r="B12" s="549"/>
      <c r="C12" s="549"/>
      <c r="D12" s="549"/>
      <c r="E12" s="549"/>
      <c r="F12" s="549"/>
      <c r="G12" s="549"/>
      <c r="H12" s="549"/>
      <c r="I12" s="549"/>
      <c r="J12" s="549"/>
      <c r="K12" s="549"/>
      <c r="L12" s="163"/>
      <c r="M12" s="163"/>
      <c r="N12" s="163"/>
      <c r="O12" s="163"/>
      <c r="P12" s="163"/>
      <c r="Q12" s="163"/>
    </row>
    <row r="13" spans="1:18" ht="45" customHeight="1">
      <c r="A13" s="550" t="s">
        <v>510</v>
      </c>
      <c r="B13" s="550"/>
      <c r="C13" s="550"/>
      <c r="D13" s="550"/>
      <c r="E13" s="550"/>
      <c r="F13" s="550"/>
      <c r="G13" s="550"/>
      <c r="H13" s="550"/>
      <c r="I13" s="550"/>
      <c r="J13" s="550"/>
      <c r="K13" s="550"/>
      <c r="L13" s="550"/>
      <c r="M13" s="550"/>
      <c r="N13" s="550"/>
      <c r="O13" s="550"/>
      <c r="P13" s="550"/>
      <c r="Q13" s="550"/>
    </row>
    <row r="14" spans="1:18">
      <c r="D14" s="282"/>
      <c r="E14" s="282"/>
      <c r="F14" s="282"/>
      <c r="G14" s="282"/>
      <c r="H14" s="282"/>
      <c r="I14" s="282"/>
      <c r="J14" s="282"/>
      <c r="K14" s="282"/>
      <c r="L14" s="282"/>
      <c r="M14" s="282"/>
      <c r="N14" s="282"/>
      <c r="O14" s="282"/>
      <c r="P14" s="282"/>
      <c r="Q14" s="282"/>
    </row>
    <row r="15" spans="1:18">
      <c r="D15" s="282"/>
      <c r="E15" s="282"/>
      <c r="F15" s="282"/>
      <c r="G15" s="282"/>
      <c r="H15" s="282"/>
      <c r="I15" s="282"/>
      <c r="J15" s="282"/>
      <c r="K15" s="282"/>
      <c r="L15" s="282"/>
      <c r="M15" s="282"/>
      <c r="N15" s="282"/>
      <c r="O15" s="282"/>
      <c r="P15" s="282"/>
      <c r="Q15" s="282"/>
    </row>
    <row r="16" spans="1:18">
      <c r="D16" s="282"/>
      <c r="E16" s="282"/>
      <c r="F16" s="282"/>
      <c r="G16" s="282"/>
      <c r="H16" s="282"/>
      <c r="I16" s="282"/>
      <c r="J16" s="282"/>
      <c r="K16" s="282"/>
      <c r="L16" s="282"/>
      <c r="M16" s="282"/>
      <c r="N16" s="282"/>
      <c r="O16" s="282"/>
      <c r="P16" s="282"/>
      <c r="Q16" s="282"/>
    </row>
  </sheetData>
  <mergeCells count="13">
    <mergeCell ref="A10:A11"/>
    <mergeCell ref="A8:A9"/>
    <mergeCell ref="A12:K12"/>
    <mergeCell ref="A13:Q13"/>
    <mergeCell ref="A1:Q1"/>
    <mergeCell ref="A2:B3"/>
    <mergeCell ref="C2:E2"/>
    <mergeCell ref="F2:H2"/>
    <mergeCell ref="I2:K2"/>
    <mergeCell ref="L2:N2"/>
    <mergeCell ref="O2:Q2"/>
    <mergeCell ref="A4:A5"/>
    <mergeCell ref="A6:A7"/>
  </mergeCells>
  <phoneticPr fontId="2" type="noConversion"/>
  <hyperlinks>
    <hyperlink ref="R1" location="本篇表次!A1" display="回本篇表次"/>
  </hyperlinks>
  <pageMargins left="0.7" right="0.7" top="0.75" bottom="0.75" header="0.3" footer="0.3"/>
  <pageSetup paperSize="9"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R23"/>
  <sheetViews>
    <sheetView showGridLines="0" zoomScaleNormal="100" workbookViewId="0">
      <selection sqref="A1:U1"/>
    </sheetView>
  </sheetViews>
  <sheetFormatPr defaultColWidth="8.5" defaultRowHeight="16.5"/>
  <cols>
    <col min="1" max="1" width="21.125" customWidth="1"/>
    <col min="2" max="2" width="6.5" customWidth="1"/>
    <col min="3" max="13" width="8.875" bestFit="1" customWidth="1"/>
    <col min="18" max="18" width="12.625" bestFit="1" customWidth="1"/>
  </cols>
  <sheetData>
    <row r="1" spans="1:18" ht="30" customHeight="1">
      <c r="A1" s="541" t="s">
        <v>666</v>
      </c>
      <c r="B1" s="541"/>
      <c r="C1" s="541"/>
      <c r="D1" s="541"/>
      <c r="E1" s="541"/>
      <c r="F1" s="541"/>
      <c r="G1" s="541"/>
      <c r="H1" s="541"/>
      <c r="I1" s="541"/>
      <c r="J1" s="541"/>
      <c r="K1" s="541"/>
      <c r="L1" s="541"/>
      <c r="M1" s="541"/>
      <c r="N1" s="541"/>
      <c r="O1" s="542"/>
      <c r="P1" s="542"/>
      <c r="Q1" s="542"/>
      <c r="R1" s="348" t="s">
        <v>644</v>
      </c>
    </row>
    <row r="2" spans="1:18" ht="30" customHeight="1">
      <c r="A2" s="543"/>
      <c r="B2" s="543"/>
      <c r="C2" s="544" t="s">
        <v>461</v>
      </c>
      <c r="D2" s="544"/>
      <c r="E2" s="544"/>
      <c r="F2" s="544" t="s">
        <v>445</v>
      </c>
      <c r="G2" s="544"/>
      <c r="H2" s="544"/>
      <c r="I2" s="544" t="s">
        <v>214</v>
      </c>
      <c r="J2" s="544"/>
      <c r="K2" s="544"/>
      <c r="L2" s="544" t="s">
        <v>460</v>
      </c>
      <c r="M2" s="544"/>
      <c r="N2" s="544"/>
      <c r="O2" s="544" t="s">
        <v>58</v>
      </c>
      <c r="P2" s="544"/>
      <c r="Q2" s="544"/>
    </row>
    <row r="3" spans="1:18" ht="30" customHeight="1">
      <c r="A3" s="537"/>
      <c r="B3" s="537"/>
      <c r="C3" s="169" t="s">
        <v>475</v>
      </c>
      <c r="D3" s="176" t="s">
        <v>474</v>
      </c>
      <c r="E3" s="176" t="s">
        <v>473</v>
      </c>
      <c r="F3" s="169" t="s">
        <v>475</v>
      </c>
      <c r="G3" s="176" t="s">
        <v>474</v>
      </c>
      <c r="H3" s="176" t="s">
        <v>473</v>
      </c>
      <c r="I3" s="169" t="s">
        <v>475</v>
      </c>
      <c r="J3" s="176" t="s">
        <v>474</v>
      </c>
      <c r="K3" s="176" t="s">
        <v>473</v>
      </c>
      <c r="L3" s="169" t="s">
        <v>475</v>
      </c>
      <c r="M3" s="176" t="s">
        <v>474</v>
      </c>
      <c r="N3" s="176" t="s">
        <v>473</v>
      </c>
      <c r="O3" s="169" t="s">
        <v>475</v>
      </c>
      <c r="P3" s="176" t="s">
        <v>474</v>
      </c>
      <c r="Q3" s="176" t="s">
        <v>473</v>
      </c>
    </row>
    <row r="4" spans="1:18" ht="21" customHeight="1">
      <c r="A4" s="537" t="s">
        <v>472</v>
      </c>
      <c r="B4" s="182" t="s">
        <v>463</v>
      </c>
      <c r="C4" s="181">
        <f t="shared" ref="C4:Q4" si="0">SUM(C6,C8,C10,C12,C14,C16,C18,C20)</f>
        <v>475</v>
      </c>
      <c r="D4" s="181">
        <f t="shared" si="0"/>
        <v>420</v>
      </c>
      <c r="E4" s="181">
        <f t="shared" si="0"/>
        <v>55</v>
      </c>
      <c r="F4" s="181">
        <f t="shared" si="0"/>
        <v>473</v>
      </c>
      <c r="G4" s="181">
        <f t="shared" si="0"/>
        <v>402</v>
      </c>
      <c r="H4" s="181">
        <f t="shared" si="0"/>
        <v>71</v>
      </c>
      <c r="I4" s="181">
        <f t="shared" si="0"/>
        <v>475</v>
      </c>
      <c r="J4" s="181">
        <f t="shared" si="0"/>
        <v>430</v>
      </c>
      <c r="K4" s="181">
        <f t="shared" si="0"/>
        <v>45</v>
      </c>
      <c r="L4" s="181">
        <f t="shared" si="0"/>
        <v>362</v>
      </c>
      <c r="M4" s="181">
        <f t="shared" si="0"/>
        <v>331</v>
      </c>
      <c r="N4" s="185">
        <f t="shared" si="0"/>
        <v>31</v>
      </c>
      <c r="O4" s="181">
        <f t="shared" si="0"/>
        <v>405</v>
      </c>
      <c r="P4" s="181">
        <f t="shared" si="0"/>
        <v>378</v>
      </c>
      <c r="Q4" s="185">
        <f t="shared" si="0"/>
        <v>27</v>
      </c>
    </row>
    <row r="5" spans="1:18" ht="21" customHeight="1">
      <c r="A5" s="537"/>
      <c r="B5" s="184" t="s">
        <v>121</v>
      </c>
      <c r="C5" s="183">
        <f t="shared" ref="C5:Q5" si="1">SUM(C7,C9,C11,C13,C15,C17,C19,C21)</f>
        <v>100</v>
      </c>
      <c r="D5" s="183">
        <f t="shared" si="1"/>
        <v>100</v>
      </c>
      <c r="E5" s="183">
        <f t="shared" si="1"/>
        <v>100</v>
      </c>
      <c r="F5" s="183">
        <f t="shared" si="1"/>
        <v>100</v>
      </c>
      <c r="G5" s="183">
        <f t="shared" si="1"/>
        <v>100</v>
      </c>
      <c r="H5" s="183">
        <f t="shared" si="1"/>
        <v>100</v>
      </c>
      <c r="I5" s="183">
        <f t="shared" si="1"/>
        <v>100</v>
      </c>
      <c r="J5" s="183">
        <f t="shared" si="1"/>
        <v>100</v>
      </c>
      <c r="K5" s="183">
        <f t="shared" si="1"/>
        <v>99.999999999999986</v>
      </c>
      <c r="L5" s="183">
        <f t="shared" si="1"/>
        <v>100</v>
      </c>
      <c r="M5" s="183">
        <f t="shared" si="1"/>
        <v>100</v>
      </c>
      <c r="N5" s="183">
        <f t="shared" si="1"/>
        <v>100</v>
      </c>
      <c r="O5" s="183">
        <f t="shared" si="1"/>
        <v>100</v>
      </c>
      <c r="P5" s="183">
        <f t="shared" si="1"/>
        <v>99.999999999999986</v>
      </c>
      <c r="Q5" s="183">
        <f t="shared" si="1"/>
        <v>100</v>
      </c>
    </row>
    <row r="6" spans="1:18" ht="21" customHeight="1">
      <c r="A6" s="537" t="s">
        <v>471</v>
      </c>
      <c r="B6" s="182" t="s">
        <v>463</v>
      </c>
      <c r="C6" s="181" t="s">
        <v>77</v>
      </c>
      <c r="D6" s="181" t="s">
        <v>77</v>
      </c>
      <c r="E6" s="181" t="s">
        <v>77</v>
      </c>
      <c r="F6" s="181" t="s">
        <v>77</v>
      </c>
      <c r="G6" s="181" t="s">
        <v>77</v>
      </c>
      <c r="H6" s="181" t="s">
        <v>77</v>
      </c>
      <c r="I6" s="181" t="s">
        <v>77</v>
      </c>
      <c r="J6" s="181" t="s">
        <v>77</v>
      </c>
      <c r="K6" s="181" t="s">
        <v>77</v>
      </c>
      <c r="L6" s="181" t="s">
        <v>77</v>
      </c>
      <c r="M6" s="181" t="s">
        <v>77</v>
      </c>
      <c r="N6" s="181" t="s">
        <v>77</v>
      </c>
      <c r="O6" s="181" t="s">
        <v>77</v>
      </c>
      <c r="P6" s="181" t="s">
        <v>77</v>
      </c>
      <c r="Q6" s="181" t="s">
        <v>77</v>
      </c>
    </row>
    <row r="7" spans="1:18" ht="21" customHeight="1">
      <c r="A7" s="537"/>
      <c r="B7" s="184" t="s">
        <v>121</v>
      </c>
      <c r="C7" s="183" t="str">
        <f t="shared" ref="C7:Q7" si="2">IFERROR(C6/C$4*100,"-")</f>
        <v>-</v>
      </c>
      <c r="D7" s="183" t="str">
        <f t="shared" si="2"/>
        <v>-</v>
      </c>
      <c r="E7" s="183" t="str">
        <f t="shared" si="2"/>
        <v>-</v>
      </c>
      <c r="F7" s="183" t="str">
        <f t="shared" si="2"/>
        <v>-</v>
      </c>
      <c r="G7" s="183" t="str">
        <f t="shared" si="2"/>
        <v>-</v>
      </c>
      <c r="H7" s="183" t="str">
        <f t="shared" si="2"/>
        <v>-</v>
      </c>
      <c r="I7" s="183" t="str">
        <f t="shared" si="2"/>
        <v>-</v>
      </c>
      <c r="J7" s="183" t="str">
        <f t="shared" si="2"/>
        <v>-</v>
      </c>
      <c r="K7" s="183" t="str">
        <f t="shared" si="2"/>
        <v>-</v>
      </c>
      <c r="L7" s="183" t="str">
        <f t="shared" si="2"/>
        <v>-</v>
      </c>
      <c r="M7" s="183" t="str">
        <f t="shared" si="2"/>
        <v>-</v>
      </c>
      <c r="N7" s="183" t="str">
        <f t="shared" si="2"/>
        <v>-</v>
      </c>
      <c r="O7" s="183" t="str">
        <f t="shared" si="2"/>
        <v>-</v>
      </c>
      <c r="P7" s="183" t="str">
        <f t="shared" si="2"/>
        <v>-</v>
      </c>
      <c r="Q7" s="183" t="str">
        <f t="shared" si="2"/>
        <v>-</v>
      </c>
    </row>
    <row r="8" spans="1:18" ht="21" customHeight="1">
      <c r="A8" s="537" t="s">
        <v>470</v>
      </c>
      <c r="B8" s="182" t="s">
        <v>463</v>
      </c>
      <c r="C8" s="181" t="s">
        <v>77</v>
      </c>
      <c r="D8" s="181" t="s">
        <v>77</v>
      </c>
      <c r="E8" s="181" t="s">
        <v>77</v>
      </c>
      <c r="F8" s="181" t="s">
        <v>77</v>
      </c>
      <c r="G8" s="181" t="s">
        <v>77</v>
      </c>
      <c r="H8" s="181" t="s">
        <v>77</v>
      </c>
      <c r="I8" s="181" t="s">
        <v>77</v>
      </c>
      <c r="J8" s="181" t="s">
        <v>77</v>
      </c>
      <c r="K8" s="181" t="s">
        <v>77</v>
      </c>
      <c r="L8" s="181" t="s">
        <v>77</v>
      </c>
      <c r="M8" s="181" t="s">
        <v>77</v>
      </c>
      <c r="N8" s="181" t="s">
        <v>77</v>
      </c>
      <c r="O8" s="181" t="s">
        <v>77</v>
      </c>
      <c r="P8" s="181" t="s">
        <v>77</v>
      </c>
      <c r="Q8" s="181" t="s">
        <v>77</v>
      </c>
    </row>
    <row r="9" spans="1:18" ht="21" customHeight="1">
      <c r="A9" s="537"/>
      <c r="B9" s="184" t="s">
        <v>121</v>
      </c>
      <c r="C9" s="183" t="str">
        <f t="shared" ref="C9:Q9" si="3">IFERROR(C8/C$4*100,"-")</f>
        <v>-</v>
      </c>
      <c r="D9" s="183" t="str">
        <f t="shared" si="3"/>
        <v>-</v>
      </c>
      <c r="E9" s="183" t="str">
        <f t="shared" si="3"/>
        <v>-</v>
      </c>
      <c r="F9" s="183" t="str">
        <f t="shared" si="3"/>
        <v>-</v>
      </c>
      <c r="G9" s="183" t="str">
        <f t="shared" si="3"/>
        <v>-</v>
      </c>
      <c r="H9" s="183" t="str">
        <f t="shared" si="3"/>
        <v>-</v>
      </c>
      <c r="I9" s="183" t="str">
        <f t="shared" si="3"/>
        <v>-</v>
      </c>
      <c r="J9" s="183" t="str">
        <f t="shared" si="3"/>
        <v>-</v>
      </c>
      <c r="K9" s="183" t="str">
        <f t="shared" si="3"/>
        <v>-</v>
      </c>
      <c r="L9" s="183" t="str">
        <f t="shared" si="3"/>
        <v>-</v>
      </c>
      <c r="M9" s="183" t="str">
        <f t="shared" si="3"/>
        <v>-</v>
      </c>
      <c r="N9" s="183" t="str">
        <f t="shared" si="3"/>
        <v>-</v>
      </c>
      <c r="O9" s="183" t="str">
        <f t="shared" si="3"/>
        <v>-</v>
      </c>
      <c r="P9" s="183" t="str">
        <f t="shared" si="3"/>
        <v>-</v>
      </c>
      <c r="Q9" s="183" t="str">
        <f t="shared" si="3"/>
        <v>-</v>
      </c>
    </row>
    <row r="10" spans="1:18" ht="21" customHeight="1">
      <c r="A10" s="537" t="s">
        <v>469</v>
      </c>
      <c r="B10" s="182" t="s">
        <v>463</v>
      </c>
      <c r="C10" s="181">
        <v>3</v>
      </c>
      <c r="D10" s="181">
        <v>3</v>
      </c>
      <c r="E10" s="181" t="s">
        <v>77</v>
      </c>
      <c r="F10" s="181">
        <v>1</v>
      </c>
      <c r="G10" s="181">
        <v>1</v>
      </c>
      <c r="H10" s="181" t="s">
        <v>77</v>
      </c>
      <c r="I10" s="181">
        <v>1</v>
      </c>
      <c r="J10" s="181">
        <v>1</v>
      </c>
      <c r="K10" s="181" t="s">
        <v>77</v>
      </c>
      <c r="L10" s="181">
        <v>3</v>
      </c>
      <c r="M10" s="181">
        <v>2</v>
      </c>
      <c r="N10" s="181">
        <v>1</v>
      </c>
      <c r="O10" s="181">
        <v>2</v>
      </c>
      <c r="P10" s="181">
        <v>2</v>
      </c>
      <c r="Q10" s="181">
        <v>0</v>
      </c>
    </row>
    <row r="11" spans="1:18" ht="21" customHeight="1">
      <c r="A11" s="537"/>
      <c r="B11" s="184" t="s">
        <v>121</v>
      </c>
      <c r="C11" s="183">
        <f t="shared" ref="C11:P11" si="4">IFERROR(C10/C$4*100,"-")</f>
        <v>0.63157894736842102</v>
      </c>
      <c r="D11" s="183">
        <f t="shared" si="4"/>
        <v>0.7142857142857143</v>
      </c>
      <c r="E11" s="183" t="str">
        <f t="shared" si="4"/>
        <v>-</v>
      </c>
      <c r="F11" s="183">
        <f t="shared" si="4"/>
        <v>0.21141649048625794</v>
      </c>
      <c r="G11" s="183">
        <f t="shared" si="4"/>
        <v>0.24875621890547264</v>
      </c>
      <c r="H11" s="183" t="str">
        <f t="shared" si="4"/>
        <v>-</v>
      </c>
      <c r="I11" s="183">
        <f t="shared" si="4"/>
        <v>0.21052631578947367</v>
      </c>
      <c r="J11" s="183">
        <f t="shared" si="4"/>
        <v>0.23255813953488372</v>
      </c>
      <c r="K11" s="183" t="str">
        <f t="shared" si="4"/>
        <v>-</v>
      </c>
      <c r="L11" s="183">
        <f t="shared" si="4"/>
        <v>0.82872928176795579</v>
      </c>
      <c r="M11" s="183">
        <f t="shared" si="4"/>
        <v>0.60422960725075525</v>
      </c>
      <c r="N11" s="183">
        <f t="shared" si="4"/>
        <v>3.225806451612903</v>
      </c>
      <c r="O11" s="183">
        <f t="shared" si="4"/>
        <v>0.49382716049382713</v>
      </c>
      <c r="P11" s="183">
        <f t="shared" si="4"/>
        <v>0.52910052910052907</v>
      </c>
      <c r="Q11" s="181">
        <v>0</v>
      </c>
    </row>
    <row r="12" spans="1:18" ht="21" customHeight="1">
      <c r="A12" s="537" t="s">
        <v>468</v>
      </c>
      <c r="B12" s="182" t="s">
        <v>463</v>
      </c>
      <c r="C12" s="181">
        <v>16</v>
      </c>
      <c r="D12" s="181">
        <v>15</v>
      </c>
      <c r="E12" s="181">
        <v>1</v>
      </c>
      <c r="F12" s="181">
        <v>16</v>
      </c>
      <c r="G12" s="181">
        <v>14</v>
      </c>
      <c r="H12" s="181">
        <v>2</v>
      </c>
      <c r="I12" s="181">
        <v>16</v>
      </c>
      <c r="J12" s="181">
        <v>15</v>
      </c>
      <c r="K12" s="181">
        <v>1</v>
      </c>
      <c r="L12" s="181">
        <v>11</v>
      </c>
      <c r="M12" s="181">
        <v>9</v>
      </c>
      <c r="N12" s="181">
        <v>2</v>
      </c>
      <c r="O12" s="181">
        <v>15</v>
      </c>
      <c r="P12" s="181">
        <v>13</v>
      </c>
      <c r="Q12" s="181">
        <v>2</v>
      </c>
    </row>
    <row r="13" spans="1:18" ht="21" customHeight="1">
      <c r="A13" s="537"/>
      <c r="B13" s="184" t="s">
        <v>121</v>
      </c>
      <c r="C13" s="183">
        <f t="shared" ref="C13:Q13" si="5">IFERROR(C12/C$4*100,"-")</f>
        <v>3.3684210526315788</v>
      </c>
      <c r="D13" s="183">
        <f t="shared" si="5"/>
        <v>3.5714285714285712</v>
      </c>
      <c r="E13" s="183">
        <f t="shared" si="5"/>
        <v>1.8181818181818181</v>
      </c>
      <c r="F13" s="183">
        <f t="shared" si="5"/>
        <v>3.382663847780127</v>
      </c>
      <c r="G13" s="183">
        <f t="shared" si="5"/>
        <v>3.4825870646766171</v>
      </c>
      <c r="H13" s="183">
        <f t="shared" si="5"/>
        <v>2.8169014084507045</v>
      </c>
      <c r="I13" s="183">
        <f t="shared" si="5"/>
        <v>3.3684210526315788</v>
      </c>
      <c r="J13" s="183">
        <f t="shared" si="5"/>
        <v>3.4883720930232558</v>
      </c>
      <c r="K13" s="183">
        <f t="shared" si="5"/>
        <v>2.2222222222222223</v>
      </c>
      <c r="L13" s="183">
        <f t="shared" si="5"/>
        <v>3.0386740331491713</v>
      </c>
      <c r="M13" s="183">
        <f t="shared" si="5"/>
        <v>2.7190332326283988</v>
      </c>
      <c r="N13" s="183">
        <f t="shared" si="5"/>
        <v>6.4516129032258061</v>
      </c>
      <c r="O13" s="183">
        <f t="shared" si="5"/>
        <v>3.7037037037037033</v>
      </c>
      <c r="P13" s="183">
        <f t="shared" si="5"/>
        <v>3.4391534391534391</v>
      </c>
      <c r="Q13" s="183">
        <f t="shared" si="5"/>
        <v>7.4074074074074066</v>
      </c>
    </row>
    <row r="14" spans="1:18" ht="21" customHeight="1">
      <c r="A14" s="537" t="s">
        <v>467</v>
      </c>
      <c r="B14" s="182" t="s">
        <v>463</v>
      </c>
      <c r="C14" s="181">
        <v>32</v>
      </c>
      <c r="D14" s="181">
        <v>25</v>
      </c>
      <c r="E14" s="181">
        <v>7</v>
      </c>
      <c r="F14" s="181">
        <v>41</v>
      </c>
      <c r="G14" s="181">
        <v>28</v>
      </c>
      <c r="H14" s="181">
        <v>13</v>
      </c>
      <c r="I14" s="181">
        <v>63</v>
      </c>
      <c r="J14" s="181">
        <v>55</v>
      </c>
      <c r="K14" s="181">
        <v>8</v>
      </c>
      <c r="L14" s="181">
        <v>40</v>
      </c>
      <c r="M14" s="181">
        <v>33</v>
      </c>
      <c r="N14" s="181">
        <v>7</v>
      </c>
      <c r="O14" s="181">
        <v>46</v>
      </c>
      <c r="P14" s="181">
        <v>42</v>
      </c>
      <c r="Q14" s="181">
        <v>4</v>
      </c>
    </row>
    <row r="15" spans="1:18" ht="21" customHeight="1">
      <c r="A15" s="537"/>
      <c r="B15" s="184" t="s">
        <v>121</v>
      </c>
      <c r="C15" s="183">
        <f t="shared" ref="C15:Q15" si="6">IFERROR(C14/C$4*100,"-")</f>
        <v>6.7368421052631575</v>
      </c>
      <c r="D15" s="183">
        <f t="shared" si="6"/>
        <v>5.9523809523809517</v>
      </c>
      <c r="E15" s="183">
        <f t="shared" si="6"/>
        <v>12.727272727272727</v>
      </c>
      <c r="F15" s="183">
        <f t="shared" si="6"/>
        <v>8.6680761099365746</v>
      </c>
      <c r="G15" s="183">
        <f t="shared" si="6"/>
        <v>6.9651741293532341</v>
      </c>
      <c r="H15" s="183">
        <f t="shared" si="6"/>
        <v>18.30985915492958</v>
      </c>
      <c r="I15" s="183">
        <f t="shared" si="6"/>
        <v>13.263157894736842</v>
      </c>
      <c r="J15" s="183">
        <f t="shared" si="6"/>
        <v>12.790697674418606</v>
      </c>
      <c r="K15" s="183">
        <f t="shared" si="6"/>
        <v>17.777777777777779</v>
      </c>
      <c r="L15" s="183">
        <f t="shared" si="6"/>
        <v>11.049723756906078</v>
      </c>
      <c r="M15" s="183">
        <f t="shared" si="6"/>
        <v>9.9697885196374632</v>
      </c>
      <c r="N15" s="183">
        <f t="shared" si="6"/>
        <v>22.58064516129032</v>
      </c>
      <c r="O15" s="183">
        <f t="shared" si="6"/>
        <v>11.358024691358025</v>
      </c>
      <c r="P15" s="183">
        <f t="shared" si="6"/>
        <v>11.111111111111111</v>
      </c>
      <c r="Q15" s="183">
        <f t="shared" si="6"/>
        <v>14.814814814814813</v>
      </c>
    </row>
    <row r="16" spans="1:18" ht="21" customHeight="1">
      <c r="A16" s="537" t="s">
        <v>466</v>
      </c>
      <c r="B16" s="182" t="s">
        <v>463</v>
      </c>
      <c r="C16" s="181">
        <v>71</v>
      </c>
      <c r="D16" s="181">
        <v>62</v>
      </c>
      <c r="E16" s="181">
        <v>9</v>
      </c>
      <c r="F16" s="181">
        <v>62</v>
      </c>
      <c r="G16" s="181">
        <v>52</v>
      </c>
      <c r="H16" s="181">
        <v>10</v>
      </c>
      <c r="I16" s="181">
        <v>90</v>
      </c>
      <c r="J16" s="181">
        <v>75</v>
      </c>
      <c r="K16" s="181">
        <v>15</v>
      </c>
      <c r="L16" s="181">
        <v>59</v>
      </c>
      <c r="M16" s="181">
        <v>52</v>
      </c>
      <c r="N16" s="181">
        <v>7</v>
      </c>
      <c r="O16" s="181">
        <v>76</v>
      </c>
      <c r="P16" s="181">
        <v>69</v>
      </c>
      <c r="Q16" s="181">
        <v>7</v>
      </c>
    </row>
    <row r="17" spans="1:17" ht="21" customHeight="1">
      <c r="A17" s="537"/>
      <c r="B17" s="184" t="s">
        <v>121</v>
      </c>
      <c r="C17" s="183">
        <f t="shared" ref="C17:Q17" si="7">IFERROR(C16/C$4*100,"-")</f>
        <v>14.947368421052632</v>
      </c>
      <c r="D17" s="183">
        <f t="shared" si="7"/>
        <v>14.761904761904763</v>
      </c>
      <c r="E17" s="183">
        <f t="shared" si="7"/>
        <v>16.363636363636363</v>
      </c>
      <c r="F17" s="183">
        <f t="shared" si="7"/>
        <v>13.107822410147993</v>
      </c>
      <c r="G17" s="183">
        <f t="shared" si="7"/>
        <v>12.935323383084576</v>
      </c>
      <c r="H17" s="183">
        <f t="shared" si="7"/>
        <v>14.084507042253522</v>
      </c>
      <c r="I17" s="183">
        <f t="shared" si="7"/>
        <v>18.947368421052634</v>
      </c>
      <c r="J17" s="183">
        <f t="shared" si="7"/>
        <v>17.441860465116278</v>
      </c>
      <c r="K17" s="183">
        <f t="shared" si="7"/>
        <v>33.333333333333329</v>
      </c>
      <c r="L17" s="183">
        <f t="shared" si="7"/>
        <v>16.298342541436465</v>
      </c>
      <c r="M17" s="183">
        <f t="shared" si="7"/>
        <v>15.709969788519636</v>
      </c>
      <c r="N17" s="183">
        <f t="shared" si="7"/>
        <v>22.58064516129032</v>
      </c>
      <c r="O17" s="183">
        <f t="shared" si="7"/>
        <v>18.765432098765434</v>
      </c>
      <c r="P17" s="183">
        <f t="shared" si="7"/>
        <v>18.253968253968253</v>
      </c>
      <c r="Q17" s="183">
        <f t="shared" si="7"/>
        <v>25.925925925925924</v>
      </c>
    </row>
    <row r="18" spans="1:17" ht="21" customHeight="1">
      <c r="A18" s="537" t="s">
        <v>465</v>
      </c>
      <c r="B18" s="182" t="s">
        <v>463</v>
      </c>
      <c r="C18" s="181">
        <v>99</v>
      </c>
      <c r="D18" s="181">
        <v>87</v>
      </c>
      <c r="E18" s="181">
        <v>12</v>
      </c>
      <c r="F18" s="181">
        <v>92</v>
      </c>
      <c r="G18" s="181">
        <v>78</v>
      </c>
      <c r="H18" s="181">
        <v>14</v>
      </c>
      <c r="I18" s="181">
        <v>121</v>
      </c>
      <c r="J18" s="181">
        <v>115</v>
      </c>
      <c r="K18" s="181">
        <v>6</v>
      </c>
      <c r="L18" s="181">
        <v>95</v>
      </c>
      <c r="M18" s="181">
        <v>91</v>
      </c>
      <c r="N18" s="181">
        <v>4</v>
      </c>
      <c r="O18" s="181">
        <v>89</v>
      </c>
      <c r="P18" s="181">
        <v>86</v>
      </c>
      <c r="Q18" s="181">
        <v>3</v>
      </c>
    </row>
    <row r="19" spans="1:17" ht="21" customHeight="1">
      <c r="A19" s="537"/>
      <c r="B19" s="184" t="s">
        <v>121</v>
      </c>
      <c r="C19" s="183">
        <f t="shared" ref="C19:Q19" si="8">IFERROR(C18/C$4*100,"-")</f>
        <v>20.842105263157894</v>
      </c>
      <c r="D19" s="183">
        <f t="shared" si="8"/>
        <v>20.714285714285715</v>
      </c>
      <c r="E19" s="183">
        <f t="shared" si="8"/>
        <v>21.818181818181817</v>
      </c>
      <c r="F19" s="183">
        <f t="shared" si="8"/>
        <v>19.450317124735729</v>
      </c>
      <c r="G19" s="183">
        <f t="shared" si="8"/>
        <v>19.402985074626866</v>
      </c>
      <c r="H19" s="183">
        <f t="shared" si="8"/>
        <v>19.718309859154928</v>
      </c>
      <c r="I19" s="183">
        <f t="shared" si="8"/>
        <v>25.473684210526315</v>
      </c>
      <c r="J19" s="183">
        <f t="shared" si="8"/>
        <v>26.744186046511626</v>
      </c>
      <c r="K19" s="183">
        <f t="shared" si="8"/>
        <v>13.333333333333334</v>
      </c>
      <c r="L19" s="183">
        <f t="shared" si="8"/>
        <v>26.243093922651934</v>
      </c>
      <c r="M19" s="183">
        <f t="shared" si="8"/>
        <v>27.492447129909365</v>
      </c>
      <c r="N19" s="183">
        <f t="shared" si="8"/>
        <v>12.903225806451612</v>
      </c>
      <c r="O19" s="183">
        <f t="shared" si="8"/>
        <v>21.975308641975307</v>
      </c>
      <c r="P19" s="183">
        <f t="shared" si="8"/>
        <v>22.75132275132275</v>
      </c>
      <c r="Q19" s="183">
        <f t="shared" si="8"/>
        <v>11.111111111111111</v>
      </c>
    </row>
    <row r="20" spans="1:17" ht="21" customHeight="1">
      <c r="A20" s="537" t="s">
        <v>464</v>
      </c>
      <c r="B20" s="182" t="s">
        <v>463</v>
      </c>
      <c r="C20" s="181">
        <v>254</v>
      </c>
      <c r="D20" s="181">
        <v>228</v>
      </c>
      <c r="E20" s="181">
        <v>26</v>
      </c>
      <c r="F20" s="181">
        <v>261</v>
      </c>
      <c r="G20" s="181">
        <v>229</v>
      </c>
      <c r="H20" s="181">
        <v>32</v>
      </c>
      <c r="I20" s="181">
        <v>184</v>
      </c>
      <c r="J20" s="181">
        <v>169</v>
      </c>
      <c r="K20" s="181">
        <v>15</v>
      </c>
      <c r="L20" s="181">
        <v>154</v>
      </c>
      <c r="M20" s="181">
        <v>144</v>
      </c>
      <c r="N20" s="181">
        <v>10</v>
      </c>
      <c r="O20" s="181">
        <v>177</v>
      </c>
      <c r="P20" s="181">
        <v>166</v>
      </c>
      <c r="Q20" s="181">
        <v>11</v>
      </c>
    </row>
    <row r="21" spans="1:17" ht="21" customHeight="1">
      <c r="A21" s="538"/>
      <c r="B21" s="180" t="s">
        <v>121</v>
      </c>
      <c r="C21" s="179">
        <f t="shared" ref="C21:Q21" si="9">IFERROR(C20/C$4*100,"-")</f>
        <v>53.473684210526315</v>
      </c>
      <c r="D21" s="179">
        <f t="shared" si="9"/>
        <v>54.285714285714285</v>
      </c>
      <c r="E21" s="179">
        <f t="shared" si="9"/>
        <v>47.272727272727273</v>
      </c>
      <c r="F21" s="179">
        <f t="shared" si="9"/>
        <v>55.17970401691332</v>
      </c>
      <c r="G21" s="179">
        <f t="shared" si="9"/>
        <v>56.965174129353237</v>
      </c>
      <c r="H21" s="179">
        <f t="shared" si="9"/>
        <v>45.070422535211272</v>
      </c>
      <c r="I21" s="179">
        <f t="shared" si="9"/>
        <v>38.736842105263158</v>
      </c>
      <c r="J21" s="179">
        <f t="shared" si="9"/>
        <v>39.302325581395351</v>
      </c>
      <c r="K21" s="179">
        <f t="shared" si="9"/>
        <v>33.333333333333329</v>
      </c>
      <c r="L21" s="179">
        <f t="shared" si="9"/>
        <v>42.541436464088399</v>
      </c>
      <c r="M21" s="179">
        <f t="shared" si="9"/>
        <v>43.504531722054381</v>
      </c>
      <c r="N21" s="179">
        <f t="shared" si="9"/>
        <v>32.258064516129032</v>
      </c>
      <c r="O21" s="179">
        <f t="shared" si="9"/>
        <v>43.703703703703702</v>
      </c>
      <c r="P21" s="179">
        <f t="shared" si="9"/>
        <v>43.915343915343911</v>
      </c>
      <c r="Q21" s="179">
        <f t="shared" si="9"/>
        <v>40.74074074074074</v>
      </c>
    </row>
    <row r="22" spans="1:17" ht="12.95" customHeight="1">
      <c r="A22" s="552" t="s">
        <v>462</v>
      </c>
      <c r="B22" s="552"/>
      <c r="C22" s="552"/>
      <c r="D22" s="552"/>
      <c r="E22" s="552"/>
      <c r="F22" s="552"/>
      <c r="G22" s="552"/>
      <c r="H22" s="163"/>
      <c r="I22" s="163"/>
      <c r="J22" s="163"/>
      <c r="K22" s="163"/>
      <c r="L22" s="163"/>
      <c r="M22" s="163"/>
      <c r="N22" s="163"/>
      <c r="O22" s="163"/>
      <c r="P22" s="163"/>
      <c r="Q22" s="163"/>
    </row>
    <row r="23" spans="1:17" ht="30" customHeight="1">
      <c r="A23" s="553" t="s">
        <v>513</v>
      </c>
      <c r="B23" s="554"/>
      <c r="C23" s="554"/>
      <c r="D23" s="554"/>
      <c r="E23" s="554"/>
      <c r="F23" s="554"/>
      <c r="G23" s="554"/>
      <c r="H23" s="554"/>
      <c r="I23" s="554"/>
      <c r="J23" s="554"/>
      <c r="K23" s="554"/>
      <c r="L23" s="554"/>
      <c r="M23" s="554"/>
      <c r="N23" s="554"/>
      <c r="O23" s="554"/>
      <c r="P23" s="554"/>
      <c r="Q23" s="554"/>
    </row>
  </sheetData>
  <mergeCells count="18">
    <mergeCell ref="A14:A15"/>
    <mergeCell ref="A4:A5"/>
    <mergeCell ref="A6:A7"/>
    <mergeCell ref="A8:A9"/>
    <mergeCell ref="A10:A11"/>
    <mergeCell ref="A12:A13"/>
    <mergeCell ref="A1:Q1"/>
    <mergeCell ref="A2:B3"/>
    <mergeCell ref="C2:E2"/>
    <mergeCell ref="F2:H2"/>
    <mergeCell ref="I2:K2"/>
    <mergeCell ref="L2:N2"/>
    <mergeCell ref="O2:Q2"/>
    <mergeCell ref="A16:A17"/>
    <mergeCell ref="A18:A19"/>
    <mergeCell ref="A20:A21"/>
    <mergeCell ref="A22:G22"/>
    <mergeCell ref="A23:Q23"/>
  </mergeCells>
  <phoneticPr fontId="2" type="noConversion"/>
  <hyperlinks>
    <hyperlink ref="R1" location="本篇表次!A1" display="回本篇表次"/>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53"/>
  <sheetViews>
    <sheetView showGridLines="0" zoomScale="80" zoomScaleNormal="80" zoomScaleSheetLayoutView="68" workbookViewId="0">
      <pane xSplit="1" ySplit="3" topLeftCell="B4" activePane="bottomRight" state="frozen"/>
      <selection activeCell="F17" sqref="F17"/>
      <selection pane="topRight" activeCell="F17" sqref="F17"/>
      <selection pane="bottomLeft" activeCell="F17" sqref="F17"/>
      <selection pane="bottomRight" activeCell="V1" sqref="V1"/>
    </sheetView>
  </sheetViews>
  <sheetFormatPr defaultColWidth="9" defaultRowHeight="15.75"/>
  <cols>
    <col min="1" max="1" width="23.125" style="59" customWidth="1"/>
    <col min="2" max="2" width="8.125" style="35" customWidth="1"/>
    <col min="3" max="3" width="9" style="140" customWidth="1"/>
    <col min="4" max="4" width="8.125" style="35" customWidth="1"/>
    <col min="5" max="5" width="9" style="140" customWidth="1"/>
    <col min="6" max="6" width="8.125" style="35" customWidth="1"/>
    <col min="7" max="7" width="9" style="140" customWidth="1"/>
    <col min="8" max="8" width="8.125" style="35" customWidth="1"/>
    <col min="9" max="9" width="9" style="225" customWidth="1"/>
    <col min="10" max="10" width="8.125" style="35" customWidth="1"/>
    <col min="11" max="11" width="9" style="225" customWidth="1"/>
    <col min="12" max="12" width="8.125" style="35" customWidth="1"/>
    <col min="13" max="13" width="9" style="225" customWidth="1"/>
    <col min="14" max="14" width="8.125" style="35" customWidth="1"/>
    <col min="15" max="15" width="9" style="225" customWidth="1"/>
    <col min="16" max="16" width="8.125" style="35" customWidth="1"/>
    <col min="17" max="17" width="9" style="225" customWidth="1"/>
    <col min="18" max="18" width="8.125" style="35" customWidth="1"/>
    <col min="19" max="19" width="9" style="225" customWidth="1"/>
    <col min="20" max="20" width="8.125" style="35" customWidth="1"/>
    <col min="21" max="21" width="9" style="225" customWidth="1"/>
    <col min="22" max="22" width="13.25" style="14" bestFit="1" customWidth="1"/>
    <col min="23" max="16384" width="9" style="14"/>
  </cols>
  <sheetData>
    <row r="1" spans="1:22" ht="26.25" customHeight="1">
      <c r="A1" s="373" t="s">
        <v>566</v>
      </c>
      <c r="B1" s="373"/>
      <c r="C1" s="373"/>
      <c r="D1" s="373"/>
      <c r="E1" s="373"/>
      <c r="F1" s="373"/>
      <c r="G1" s="373"/>
      <c r="H1" s="373"/>
      <c r="I1" s="373"/>
      <c r="J1" s="373"/>
      <c r="K1" s="373"/>
      <c r="L1" s="373"/>
      <c r="M1" s="373"/>
      <c r="N1" s="373"/>
      <c r="O1" s="373"/>
      <c r="P1" s="373"/>
      <c r="Q1" s="373"/>
      <c r="R1" s="373"/>
      <c r="S1" s="373"/>
      <c r="T1" s="373"/>
      <c r="U1" s="373"/>
      <c r="V1" s="348" t="s">
        <v>644</v>
      </c>
    </row>
    <row r="2" spans="1:22" ht="16.5">
      <c r="A2" s="19"/>
      <c r="B2" s="378" t="s">
        <v>49</v>
      </c>
      <c r="C2" s="378"/>
      <c r="D2" s="378" t="s">
        <v>50</v>
      </c>
      <c r="E2" s="378"/>
      <c r="F2" s="378" t="s">
        <v>51</v>
      </c>
      <c r="G2" s="378"/>
      <c r="H2" s="378" t="s">
        <v>52</v>
      </c>
      <c r="I2" s="378"/>
      <c r="J2" s="378" t="s">
        <v>53</v>
      </c>
      <c r="K2" s="378"/>
      <c r="L2" s="378" t="s">
        <v>54</v>
      </c>
      <c r="M2" s="378"/>
      <c r="N2" s="378" t="s">
        <v>55</v>
      </c>
      <c r="O2" s="378"/>
      <c r="P2" s="378" t="s">
        <v>56</v>
      </c>
      <c r="Q2" s="378"/>
      <c r="R2" s="378" t="s">
        <v>123</v>
      </c>
      <c r="S2" s="378"/>
      <c r="T2" s="378" t="s">
        <v>58</v>
      </c>
      <c r="U2" s="378"/>
    </row>
    <row r="3" spans="1:22">
      <c r="A3" s="5"/>
      <c r="B3" s="215" t="s">
        <v>567</v>
      </c>
      <c r="C3" s="216" t="s">
        <v>106</v>
      </c>
      <c r="D3" s="215" t="s">
        <v>567</v>
      </c>
      <c r="E3" s="216" t="s">
        <v>106</v>
      </c>
      <c r="F3" s="215" t="s">
        <v>567</v>
      </c>
      <c r="G3" s="216" t="s">
        <v>106</v>
      </c>
      <c r="H3" s="215" t="s">
        <v>567</v>
      </c>
      <c r="I3" s="216" t="s">
        <v>106</v>
      </c>
      <c r="J3" s="215" t="s">
        <v>567</v>
      </c>
      <c r="K3" s="216" t="s">
        <v>106</v>
      </c>
      <c r="L3" s="215" t="s">
        <v>567</v>
      </c>
      <c r="M3" s="216" t="s">
        <v>106</v>
      </c>
      <c r="N3" s="215" t="s">
        <v>567</v>
      </c>
      <c r="O3" s="216" t="s">
        <v>106</v>
      </c>
      <c r="P3" s="215" t="s">
        <v>567</v>
      </c>
      <c r="Q3" s="216" t="s">
        <v>106</v>
      </c>
      <c r="R3" s="215" t="s">
        <v>567</v>
      </c>
      <c r="S3" s="216" t="s">
        <v>106</v>
      </c>
      <c r="T3" s="215" t="s">
        <v>567</v>
      </c>
      <c r="U3" s="216" t="s">
        <v>106</v>
      </c>
    </row>
    <row r="4" spans="1:22" ht="18" customHeight="1">
      <c r="A4" s="27" t="s">
        <v>65</v>
      </c>
      <c r="B4" s="217">
        <v>12038</v>
      </c>
      <c r="C4" s="218">
        <f>SUM(C5:C51)</f>
        <v>100.00000000000001</v>
      </c>
      <c r="D4" s="217">
        <v>10969</v>
      </c>
      <c r="E4" s="218">
        <f>SUM(E5:E51)</f>
        <v>100.00000000000006</v>
      </c>
      <c r="F4" s="217">
        <v>11002</v>
      </c>
      <c r="G4" s="218">
        <f>SUM(G5:G51)</f>
        <v>100.00000000000004</v>
      </c>
      <c r="H4" s="217">
        <v>9775</v>
      </c>
      <c r="I4" s="218">
        <f>SUM(I5:I51)</f>
        <v>100</v>
      </c>
      <c r="J4" s="217">
        <v>10499</v>
      </c>
      <c r="K4" s="218">
        <f>SUM(K5:K51)</f>
        <v>100</v>
      </c>
      <c r="L4" s="217">
        <v>8893</v>
      </c>
      <c r="M4" s="218">
        <f>SUM(M5:M51)</f>
        <v>100</v>
      </c>
      <c r="N4" s="217">
        <v>9441</v>
      </c>
      <c r="O4" s="218">
        <f>SUM(O5:O51)</f>
        <v>99.999999999999929</v>
      </c>
      <c r="P4" s="217">
        <v>10226</v>
      </c>
      <c r="Q4" s="218">
        <f>SUM(Q5:Q51)</f>
        <v>99.999999999999972</v>
      </c>
      <c r="R4" s="217">
        <v>9627</v>
      </c>
      <c r="S4" s="218">
        <f>SUM(S5:S51)</f>
        <v>99.999999999999986</v>
      </c>
      <c r="T4" s="217">
        <v>9554</v>
      </c>
      <c r="U4" s="218">
        <f>SUM(U5:U51)</f>
        <v>99.999999999999986</v>
      </c>
    </row>
    <row r="5" spans="1:22" ht="18" customHeight="1">
      <c r="A5" s="98" t="s">
        <v>568</v>
      </c>
      <c r="B5" s="217">
        <v>648</v>
      </c>
      <c r="C5" s="218">
        <f t="shared" ref="C5:C50" si="0">IF(ISERROR(B5/B$4*100)=TRUE,"-",B5/B$4*100)</f>
        <v>5.3829539790662899</v>
      </c>
      <c r="D5" s="217">
        <v>557</v>
      </c>
      <c r="E5" s="218">
        <f t="shared" ref="E5:E50" si="1">IF(ISERROR(D5/D$4*100)=TRUE,"-",D5/D$4*100)</f>
        <v>5.0779469413802536</v>
      </c>
      <c r="F5" s="217">
        <v>805</v>
      </c>
      <c r="G5" s="218">
        <f t="shared" ref="G5:G50" si="2">IF(ISERROR(F5/F$4*100)=TRUE,"-",F5/F$4*100)</f>
        <v>7.3168514815488095</v>
      </c>
      <c r="H5" s="217">
        <v>953</v>
      </c>
      <c r="I5" s="218">
        <f t="shared" ref="I5:I50" si="3">IF(ISERROR(H5/H$4*100)=TRUE,"-",H5/H$4*100)</f>
        <v>9.7493606138107403</v>
      </c>
      <c r="J5" s="217">
        <v>1337</v>
      </c>
      <c r="K5" s="218">
        <f t="shared" ref="K5:K50" si="4">IF(ISERROR(J5/J$4*100)=TRUE,"-",J5/J$4*100)</f>
        <v>12.734546147252118</v>
      </c>
      <c r="L5" s="217">
        <v>1375</v>
      </c>
      <c r="M5" s="218">
        <f t="shared" ref="M5:M50" si="5">IF(ISERROR(L5/L$4*100)=TRUE,"-",L5/L$4*100)</f>
        <v>15.461599010457663</v>
      </c>
      <c r="N5" s="217">
        <v>1628</v>
      </c>
      <c r="O5" s="218">
        <f t="shared" ref="O5:O50" si="6">IF(ISERROR(N5/N$4*100)=TRUE,"-",N5/N$4*100)</f>
        <v>17.243936023726299</v>
      </c>
      <c r="P5" s="217">
        <v>1642</v>
      </c>
      <c r="Q5" s="218">
        <f t="shared" ref="Q5:Q50" si="7">IF(ISERROR(P5/P$4*100)=TRUE,"-",P5/P$4*100)</f>
        <v>16.057109329160962</v>
      </c>
      <c r="R5" s="217">
        <v>1633</v>
      </c>
      <c r="S5" s="218">
        <f t="shared" ref="S5:S50" si="8">IF(ISERROR(R5/R$4*100)=TRUE,"-",R5/R$4*100)</f>
        <v>16.962709047470657</v>
      </c>
      <c r="T5" s="217">
        <v>1662</v>
      </c>
      <c r="U5" s="218">
        <f t="shared" ref="U5:U42" si="9">IF(ISERROR(T5/T$4*100)=TRUE,"-",T5/T$4*100)</f>
        <v>17.395855139208706</v>
      </c>
    </row>
    <row r="6" spans="1:22" ht="18" customHeight="1">
      <c r="A6" s="27" t="s">
        <v>570</v>
      </c>
      <c r="B6" s="217">
        <v>3385</v>
      </c>
      <c r="C6" s="218">
        <f t="shared" si="0"/>
        <v>28.119288918424989</v>
      </c>
      <c r="D6" s="217">
        <v>3155</v>
      </c>
      <c r="E6" s="218">
        <f t="shared" si="1"/>
        <v>28.762877199380071</v>
      </c>
      <c r="F6" s="217">
        <v>2741</v>
      </c>
      <c r="G6" s="218">
        <f t="shared" si="2"/>
        <v>24.913652063261225</v>
      </c>
      <c r="H6" s="217">
        <v>2111</v>
      </c>
      <c r="I6" s="218">
        <f t="shared" si="3"/>
        <v>21.595907928388748</v>
      </c>
      <c r="J6" s="217">
        <v>1823</v>
      </c>
      <c r="K6" s="218">
        <f t="shared" si="4"/>
        <v>17.363558434136582</v>
      </c>
      <c r="L6" s="217">
        <v>1795</v>
      </c>
      <c r="M6" s="218">
        <f t="shared" si="5"/>
        <v>20.184414708197458</v>
      </c>
      <c r="N6" s="217">
        <v>1838</v>
      </c>
      <c r="O6" s="218">
        <f t="shared" si="6"/>
        <v>19.468276665607455</v>
      </c>
      <c r="P6" s="217">
        <v>1594</v>
      </c>
      <c r="Q6" s="218">
        <f t="shared" si="7"/>
        <v>15.587717582632504</v>
      </c>
      <c r="R6" s="217">
        <v>1216</v>
      </c>
      <c r="S6" s="218">
        <f t="shared" si="8"/>
        <v>12.631141580970187</v>
      </c>
      <c r="T6" s="217">
        <v>1225</v>
      </c>
      <c r="U6" s="218">
        <f t="shared" si="9"/>
        <v>12.821854720535903</v>
      </c>
    </row>
    <row r="7" spans="1:22" ht="18" customHeight="1">
      <c r="A7" s="27" t="s">
        <v>569</v>
      </c>
      <c r="B7" s="217">
        <v>1</v>
      </c>
      <c r="C7" s="218">
        <f t="shared" si="0"/>
        <v>8.3070277454726713E-3</v>
      </c>
      <c r="D7" s="217">
        <v>17</v>
      </c>
      <c r="E7" s="218">
        <f t="shared" si="1"/>
        <v>0.15498222262740449</v>
      </c>
      <c r="F7" s="217">
        <v>12</v>
      </c>
      <c r="G7" s="218">
        <f t="shared" si="2"/>
        <v>0.10907107798582077</v>
      </c>
      <c r="H7" s="217">
        <v>17</v>
      </c>
      <c r="I7" s="218">
        <f t="shared" si="3"/>
        <v>0.17391304347826086</v>
      </c>
      <c r="J7" s="217">
        <v>121</v>
      </c>
      <c r="K7" s="218">
        <f t="shared" si="4"/>
        <v>1.1524907134012763</v>
      </c>
      <c r="L7" s="217">
        <v>133</v>
      </c>
      <c r="M7" s="218">
        <f t="shared" si="5"/>
        <v>1.4955583042842686</v>
      </c>
      <c r="N7" s="217">
        <v>167</v>
      </c>
      <c r="O7" s="218">
        <f t="shared" si="6"/>
        <v>1.7688804152102531</v>
      </c>
      <c r="P7" s="217">
        <v>1026</v>
      </c>
      <c r="Q7" s="218">
        <f t="shared" si="7"/>
        <v>10.033248582045767</v>
      </c>
      <c r="R7" s="217">
        <v>1263</v>
      </c>
      <c r="S7" s="218">
        <f t="shared" si="8"/>
        <v>13.119351822997819</v>
      </c>
      <c r="T7" s="217">
        <v>997</v>
      </c>
      <c r="U7" s="218">
        <f t="shared" si="9"/>
        <v>10.43541971948922</v>
      </c>
    </row>
    <row r="8" spans="1:22" ht="18" customHeight="1">
      <c r="A8" s="98" t="s">
        <v>571</v>
      </c>
      <c r="B8" s="217">
        <v>1641</v>
      </c>
      <c r="C8" s="218">
        <f t="shared" si="0"/>
        <v>13.631832530320651</v>
      </c>
      <c r="D8" s="217">
        <v>1445</v>
      </c>
      <c r="E8" s="218">
        <f t="shared" si="1"/>
        <v>13.173488923329382</v>
      </c>
      <c r="F8" s="217">
        <v>1207</v>
      </c>
      <c r="G8" s="218">
        <f t="shared" si="2"/>
        <v>10.970732594073805</v>
      </c>
      <c r="H8" s="217">
        <v>1224</v>
      </c>
      <c r="I8" s="218">
        <f t="shared" si="3"/>
        <v>12.521739130434783</v>
      </c>
      <c r="J8" s="217">
        <v>1249</v>
      </c>
      <c r="K8" s="218">
        <f t="shared" si="4"/>
        <v>11.896371082960282</v>
      </c>
      <c r="L8" s="217">
        <v>1098</v>
      </c>
      <c r="M8" s="218">
        <f t="shared" si="5"/>
        <v>12.346789609805466</v>
      </c>
      <c r="N8" s="217">
        <v>1283</v>
      </c>
      <c r="O8" s="218">
        <f t="shared" si="6"/>
        <v>13.589662112064399</v>
      </c>
      <c r="P8" s="217">
        <v>881</v>
      </c>
      <c r="Q8" s="218">
        <f t="shared" si="7"/>
        <v>8.6152943477410524</v>
      </c>
      <c r="R8" s="217">
        <v>892</v>
      </c>
      <c r="S8" s="218">
        <f t="shared" si="8"/>
        <v>9.2656071465669463</v>
      </c>
      <c r="T8" s="217">
        <v>892</v>
      </c>
      <c r="U8" s="218">
        <f t="shared" si="9"/>
        <v>9.3364036005861415</v>
      </c>
    </row>
    <row r="9" spans="1:22" ht="18" customHeight="1">
      <c r="A9" s="27" t="s">
        <v>227</v>
      </c>
      <c r="B9" s="217">
        <v>772</v>
      </c>
      <c r="C9" s="218">
        <f t="shared" si="0"/>
        <v>6.4130254195049012</v>
      </c>
      <c r="D9" s="217">
        <v>755</v>
      </c>
      <c r="E9" s="218">
        <f t="shared" si="1"/>
        <v>6.8830340049229655</v>
      </c>
      <c r="F9" s="217">
        <v>743</v>
      </c>
      <c r="G9" s="218">
        <f t="shared" si="2"/>
        <v>6.7533175786220685</v>
      </c>
      <c r="H9" s="217">
        <v>662</v>
      </c>
      <c r="I9" s="218">
        <f t="shared" si="3"/>
        <v>6.7723785166240402</v>
      </c>
      <c r="J9" s="217">
        <v>662</v>
      </c>
      <c r="K9" s="218">
        <f t="shared" si="4"/>
        <v>6.3053624154681396</v>
      </c>
      <c r="L9" s="217">
        <v>617</v>
      </c>
      <c r="M9" s="218">
        <f t="shared" si="5"/>
        <v>6.9380411559653661</v>
      </c>
      <c r="N9" s="217">
        <v>593</v>
      </c>
      <c r="O9" s="218">
        <f t="shared" si="6"/>
        <v>6.2811142887406</v>
      </c>
      <c r="P9" s="217">
        <v>860</v>
      </c>
      <c r="Q9" s="218">
        <f t="shared" si="7"/>
        <v>8.4099354586348518</v>
      </c>
      <c r="R9" s="217">
        <v>783</v>
      </c>
      <c r="S9" s="218">
        <f t="shared" si="8"/>
        <v>8.1333748831411654</v>
      </c>
      <c r="T9" s="217">
        <v>875</v>
      </c>
      <c r="U9" s="218">
        <f t="shared" si="9"/>
        <v>9.1584676575256445</v>
      </c>
    </row>
    <row r="10" spans="1:22" ht="18" customHeight="1">
      <c r="A10" s="27" t="s">
        <v>572</v>
      </c>
      <c r="B10" s="217">
        <v>307</v>
      </c>
      <c r="C10" s="218">
        <f t="shared" si="0"/>
        <v>2.5502575178601097</v>
      </c>
      <c r="D10" s="217">
        <v>303</v>
      </c>
      <c r="E10" s="218">
        <f t="shared" si="1"/>
        <v>2.7623302033002095</v>
      </c>
      <c r="F10" s="217">
        <v>231</v>
      </c>
      <c r="G10" s="218">
        <f t="shared" si="2"/>
        <v>2.0996182512270494</v>
      </c>
      <c r="H10" s="217">
        <v>296</v>
      </c>
      <c r="I10" s="218">
        <f t="shared" si="3"/>
        <v>3.0281329923273659</v>
      </c>
      <c r="J10" s="217">
        <v>313</v>
      </c>
      <c r="K10" s="218">
        <f t="shared" si="4"/>
        <v>2.9812363082198305</v>
      </c>
      <c r="L10" s="217">
        <v>343</v>
      </c>
      <c r="M10" s="218">
        <f t="shared" si="5"/>
        <v>3.8569661531541661</v>
      </c>
      <c r="N10" s="217">
        <v>371</v>
      </c>
      <c r="O10" s="218">
        <f t="shared" si="6"/>
        <v>3.9296684673233764</v>
      </c>
      <c r="P10" s="217">
        <v>443</v>
      </c>
      <c r="Q10" s="218">
        <f t="shared" si="7"/>
        <v>4.3320946606688828</v>
      </c>
      <c r="R10" s="217">
        <v>506</v>
      </c>
      <c r="S10" s="218">
        <f t="shared" si="8"/>
        <v>5.2560506907655551</v>
      </c>
      <c r="T10" s="217">
        <v>577</v>
      </c>
      <c r="U10" s="218">
        <f t="shared" si="9"/>
        <v>6.0393552438769103</v>
      </c>
    </row>
    <row r="11" spans="1:22" ht="18" customHeight="1">
      <c r="A11" s="27" t="s">
        <v>232</v>
      </c>
      <c r="B11" s="217">
        <v>1519</v>
      </c>
      <c r="C11" s="218">
        <f t="shared" si="0"/>
        <v>12.618375145372983</v>
      </c>
      <c r="D11" s="217">
        <v>1381</v>
      </c>
      <c r="E11" s="218">
        <f t="shared" si="1"/>
        <v>12.590026438143859</v>
      </c>
      <c r="F11" s="217">
        <v>1939</v>
      </c>
      <c r="G11" s="218">
        <f t="shared" si="2"/>
        <v>17.624068351208873</v>
      </c>
      <c r="H11" s="217">
        <v>1835</v>
      </c>
      <c r="I11" s="218">
        <f t="shared" si="3"/>
        <v>18.772378516624041</v>
      </c>
      <c r="J11" s="217">
        <v>1782</v>
      </c>
      <c r="K11" s="218">
        <f t="shared" si="4"/>
        <v>16.973045051909704</v>
      </c>
      <c r="L11" s="217">
        <v>847</v>
      </c>
      <c r="M11" s="218">
        <f t="shared" si="5"/>
        <v>9.5243449904419197</v>
      </c>
      <c r="N11" s="217">
        <v>940</v>
      </c>
      <c r="O11" s="218">
        <f t="shared" si="6"/>
        <v>9.9565723969918452</v>
      </c>
      <c r="P11" s="217">
        <v>949</v>
      </c>
      <c r="Q11" s="218">
        <f t="shared" si="7"/>
        <v>9.2802659886563674</v>
      </c>
      <c r="R11" s="217">
        <v>664</v>
      </c>
      <c r="S11" s="218">
        <f t="shared" si="8"/>
        <v>6.8972681001350375</v>
      </c>
      <c r="T11" s="217">
        <v>456</v>
      </c>
      <c r="U11" s="218">
        <f t="shared" si="9"/>
        <v>4.7728700020933639</v>
      </c>
    </row>
    <row r="12" spans="1:22" ht="18" customHeight="1">
      <c r="A12" s="27" t="s">
        <v>573</v>
      </c>
      <c r="B12" s="217">
        <v>795</v>
      </c>
      <c r="C12" s="218">
        <f t="shared" si="0"/>
        <v>6.6040870576507729</v>
      </c>
      <c r="D12" s="217">
        <v>770</v>
      </c>
      <c r="E12" s="218">
        <f t="shared" si="1"/>
        <v>7.019783024888322</v>
      </c>
      <c r="F12" s="217">
        <v>746</v>
      </c>
      <c r="G12" s="218">
        <f t="shared" si="2"/>
        <v>6.7805853481185245</v>
      </c>
      <c r="H12" s="217">
        <v>611</v>
      </c>
      <c r="I12" s="218">
        <f t="shared" si="3"/>
        <v>6.250639386189258</v>
      </c>
      <c r="J12" s="217">
        <v>750</v>
      </c>
      <c r="K12" s="218">
        <f t="shared" si="4"/>
        <v>7.1435374797599778</v>
      </c>
      <c r="L12" s="217">
        <v>611</v>
      </c>
      <c r="M12" s="218">
        <f t="shared" si="5"/>
        <v>6.8705723602833695</v>
      </c>
      <c r="N12" s="217">
        <v>562</v>
      </c>
      <c r="O12" s="218">
        <f t="shared" si="6"/>
        <v>5.9527592416057624</v>
      </c>
      <c r="P12" s="217">
        <v>520</v>
      </c>
      <c r="Q12" s="218">
        <f t="shared" si="7"/>
        <v>5.0850772540582829</v>
      </c>
      <c r="R12" s="217">
        <v>365</v>
      </c>
      <c r="S12" s="218">
        <f t="shared" si="8"/>
        <v>3.7914199646826638</v>
      </c>
      <c r="T12" s="217">
        <v>349</v>
      </c>
      <c r="U12" s="218">
        <f t="shared" si="9"/>
        <v>3.6529202428302279</v>
      </c>
    </row>
    <row r="13" spans="1:22" ht="18" customHeight="1">
      <c r="A13" s="27" t="s">
        <v>574</v>
      </c>
      <c r="B13" s="217">
        <v>346</v>
      </c>
      <c r="C13" s="218">
        <f t="shared" si="0"/>
        <v>2.8742315999335437</v>
      </c>
      <c r="D13" s="217">
        <v>312</v>
      </c>
      <c r="E13" s="218">
        <f t="shared" si="1"/>
        <v>2.8443796152794238</v>
      </c>
      <c r="F13" s="217">
        <v>306</v>
      </c>
      <c r="G13" s="218">
        <f t="shared" si="2"/>
        <v>2.7813124886384295</v>
      </c>
      <c r="H13" s="217">
        <v>299</v>
      </c>
      <c r="I13" s="218">
        <f t="shared" si="3"/>
        <v>3.0588235294117649</v>
      </c>
      <c r="J13" s="217">
        <v>268</v>
      </c>
      <c r="K13" s="218">
        <f t="shared" si="4"/>
        <v>2.5526240594342315</v>
      </c>
      <c r="L13" s="217">
        <v>292</v>
      </c>
      <c r="M13" s="218">
        <f t="shared" si="5"/>
        <v>3.2834813898571911</v>
      </c>
      <c r="N13" s="217">
        <v>283</v>
      </c>
      <c r="O13" s="218">
        <f t="shared" si="6"/>
        <v>2.9975638173922254</v>
      </c>
      <c r="P13" s="217">
        <v>291</v>
      </c>
      <c r="Q13" s="218">
        <f t="shared" si="7"/>
        <v>2.8456874633287699</v>
      </c>
      <c r="R13" s="217">
        <v>345</v>
      </c>
      <c r="S13" s="218">
        <f t="shared" si="8"/>
        <v>3.5836709255219694</v>
      </c>
      <c r="T13" s="217">
        <v>318</v>
      </c>
      <c r="U13" s="218">
        <f t="shared" si="9"/>
        <v>3.3284488172493196</v>
      </c>
    </row>
    <row r="14" spans="1:22" ht="18" customHeight="1">
      <c r="A14" s="27" t="s">
        <v>575</v>
      </c>
      <c r="B14" s="217">
        <v>94</v>
      </c>
      <c r="C14" s="218">
        <f t="shared" si="0"/>
        <v>0.78086060807443092</v>
      </c>
      <c r="D14" s="217">
        <v>104</v>
      </c>
      <c r="E14" s="218">
        <f t="shared" si="1"/>
        <v>0.94812653842647454</v>
      </c>
      <c r="F14" s="217">
        <v>228</v>
      </c>
      <c r="G14" s="218">
        <f t="shared" si="2"/>
        <v>2.0723504817305947</v>
      </c>
      <c r="H14" s="217">
        <v>106</v>
      </c>
      <c r="I14" s="218">
        <f t="shared" si="3"/>
        <v>1.0843989769820972</v>
      </c>
      <c r="J14" s="217">
        <v>230</v>
      </c>
      <c r="K14" s="218">
        <f t="shared" si="4"/>
        <v>2.1906848271263932</v>
      </c>
      <c r="L14" s="217">
        <v>114</v>
      </c>
      <c r="M14" s="218">
        <f t="shared" si="5"/>
        <v>1.2819071179579444</v>
      </c>
      <c r="N14" s="217">
        <v>81</v>
      </c>
      <c r="O14" s="218">
        <f t="shared" si="6"/>
        <v>0.85795996186844614</v>
      </c>
      <c r="P14" s="217">
        <v>165</v>
      </c>
      <c r="Q14" s="218">
        <f t="shared" si="7"/>
        <v>1.6135341286915703</v>
      </c>
      <c r="R14" s="217">
        <v>247</v>
      </c>
      <c r="S14" s="218">
        <f t="shared" si="8"/>
        <v>2.5657006336345693</v>
      </c>
      <c r="T14" s="217">
        <v>247</v>
      </c>
      <c r="U14" s="218">
        <f t="shared" si="9"/>
        <v>2.5853045844672389</v>
      </c>
    </row>
    <row r="15" spans="1:22" ht="18" customHeight="1">
      <c r="A15" s="27" t="s">
        <v>576</v>
      </c>
      <c r="B15" s="217">
        <v>129</v>
      </c>
      <c r="C15" s="218">
        <f t="shared" si="0"/>
        <v>1.0716065791659743</v>
      </c>
      <c r="D15" s="217">
        <v>154</v>
      </c>
      <c r="E15" s="218">
        <f t="shared" si="1"/>
        <v>1.4039566049776642</v>
      </c>
      <c r="F15" s="217">
        <v>131</v>
      </c>
      <c r="G15" s="218">
        <f t="shared" si="2"/>
        <v>1.1906926013452099</v>
      </c>
      <c r="H15" s="217">
        <v>180</v>
      </c>
      <c r="I15" s="218">
        <f t="shared" si="3"/>
        <v>1.8414322250639386</v>
      </c>
      <c r="J15" s="217">
        <v>300</v>
      </c>
      <c r="K15" s="218">
        <f t="shared" si="4"/>
        <v>2.8574149919039908</v>
      </c>
      <c r="L15" s="217">
        <v>205</v>
      </c>
      <c r="M15" s="218">
        <f t="shared" si="5"/>
        <v>2.3051838524682333</v>
      </c>
      <c r="N15" s="217">
        <v>192</v>
      </c>
      <c r="O15" s="218">
        <f t="shared" si="6"/>
        <v>2.0336828725770575</v>
      </c>
      <c r="P15" s="217">
        <v>240</v>
      </c>
      <c r="Q15" s="218">
        <f t="shared" si="7"/>
        <v>2.3469587326422845</v>
      </c>
      <c r="R15" s="217">
        <v>228</v>
      </c>
      <c r="S15" s="218">
        <f t="shared" si="8"/>
        <v>2.3683390464319101</v>
      </c>
      <c r="T15" s="217">
        <v>239</v>
      </c>
      <c r="U15" s="218">
        <f t="shared" si="9"/>
        <v>2.5015700230270044</v>
      </c>
    </row>
    <row r="16" spans="1:22" ht="18" customHeight="1">
      <c r="A16" s="27" t="s">
        <v>577</v>
      </c>
      <c r="B16" s="217">
        <v>151</v>
      </c>
      <c r="C16" s="218">
        <f t="shared" si="0"/>
        <v>1.2543611895663731</v>
      </c>
      <c r="D16" s="217">
        <v>155</v>
      </c>
      <c r="E16" s="218">
        <f t="shared" si="1"/>
        <v>1.4130732063086882</v>
      </c>
      <c r="F16" s="217">
        <v>119</v>
      </c>
      <c r="G16" s="218">
        <f t="shared" si="2"/>
        <v>1.0816215233593891</v>
      </c>
      <c r="H16" s="217">
        <v>123</v>
      </c>
      <c r="I16" s="218">
        <f t="shared" si="3"/>
        <v>1.2583120204603579</v>
      </c>
      <c r="J16" s="217">
        <v>147</v>
      </c>
      <c r="K16" s="218">
        <f t="shared" si="4"/>
        <v>1.4001333460329555</v>
      </c>
      <c r="L16" s="217">
        <v>225</v>
      </c>
      <c r="M16" s="218">
        <f t="shared" si="5"/>
        <v>2.5300798380748906</v>
      </c>
      <c r="N16" s="217">
        <v>201</v>
      </c>
      <c r="O16" s="218">
        <f t="shared" si="6"/>
        <v>2.1290117572291067</v>
      </c>
      <c r="P16" s="217">
        <v>177</v>
      </c>
      <c r="Q16" s="218">
        <f t="shared" si="7"/>
        <v>1.7308820653236845</v>
      </c>
      <c r="R16" s="217">
        <v>205</v>
      </c>
      <c r="S16" s="218">
        <f t="shared" si="8"/>
        <v>2.1294276513971124</v>
      </c>
      <c r="T16" s="217">
        <v>230</v>
      </c>
      <c r="U16" s="218">
        <f t="shared" si="9"/>
        <v>2.4073686414067406</v>
      </c>
    </row>
    <row r="17" spans="1:21" ht="18" customHeight="1">
      <c r="A17" s="27" t="s">
        <v>578</v>
      </c>
      <c r="B17" s="217">
        <v>104</v>
      </c>
      <c r="C17" s="218">
        <f t="shared" si="0"/>
        <v>0.86393088552915775</v>
      </c>
      <c r="D17" s="217">
        <v>62</v>
      </c>
      <c r="E17" s="218">
        <f t="shared" si="1"/>
        <v>0.56522928252347526</v>
      </c>
      <c r="F17" s="217">
        <v>67</v>
      </c>
      <c r="G17" s="218">
        <f t="shared" si="2"/>
        <v>0.60898018542083265</v>
      </c>
      <c r="H17" s="217">
        <v>59</v>
      </c>
      <c r="I17" s="218">
        <f t="shared" si="3"/>
        <v>0.60358056265984661</v>
      </c>
      <c r="J17" s="217">
        <v>58</v>
      </c>
      <c r="K17" s="218">
        <f t="shared" si="4"/>
        <v>0.55243356510143826</v>
      </c>
      <c r="L17" s="217">
        <v>117</v>
      </c>
      <c r="M17" s="218">
        <f t="shared" si="5"/>
        <v>1.315641515798943</v>
      </c>
      <c r="N17" s="217">
        <v>116</v>
      </c>
      <c r="O17" s="218">
        <f t="shared" si="6"/>
        <v>1.2286834021819724</v>
      </c>
      <c r="P17" s="217">
        <v>125</v>
      </c>
      <c r="Q17" s="218">
        <f t="shared" si="7"/>
        <v>1.2223743399178564</v>
      </c>
      <c r="R17" s="217">
        <v>116</v>
      </c>
      <c r="S17" s="218">
        <f t="shared" si="8"/>
        <v>1.2049444271320244</v>
      </c>
      <c r="T17" s="217">
        <v>143</v>
      </c>
      <c r="U17" s="218">
        <f t="shared" si="9"/>
        <v>1.496755285744191</v>
      </c>
    </row>
    <row r="18" spans="1:21" ht="18" customHeight="1">
      <c r="A18" s="27" t="s">
        <v>582</v>
      </c>
      <c r="B18" s="217">
        <v>43</v>
      </c>
      <c r="C18" s="218">
        <f t="shared" si="0"/>
        <v>0.3572021930553248</v>
      </c>
      <c r="D18" s="217">
        <v>35</v>
      </c>
      <c r="E18" s="218">
        <f t="shared" si="1"/>
        <v>0.31908104658583281</v>
      </c>
      <c r="F18" s="217">
        <v>27</v>
      </c>
      <c r="G18" s="218">
        <f t="shared" si="2"/>
        <v>0.24540992546809673</v>
      </c>
      <c r="H18" s="217">
        <v>34</v>
      </c>
      <c r="I18" s="218">
        <f t="shared" si="3"/>
        <v>0.34782608695652173</v>
      </c>
      <c r="J18" s="217">
        <v>46</v>
      </c>
      <c r="K18" s="218">
        <f t="shared" si="4"/>
        <v>0.43813696542527858</v>
      </c>
      <c r="L18" s="217">
        <v>51</v>
      </c>
      <c r="M18" s="218">
        <f t="shared" si="5"/>
        <v>0.57348476329697518</v>
      </c>
      <c r="N18" s="217">
        <v>35</v>
      </c>
      <c r="O18" s="218">
        <f t="shared" si="6"/>
        <v>0.37072344031352611</v>
      </c>
      <c r="P18" s="217">
        <v>42</v>
      </c>
      <c r="Q18" s="218">
        <f t="shared" si="7"/>
        <v>0.41071777821239974</v>
      </c>
      <c r="R18" s="217">
        <v>44</v>
      </c>
      <c r="S18" s="218">
        <f t="shared" si="8"/>
        <v>0.45704788615352654</v>
      </c>
      <c r="T18" s="217">
        <v>69</v>
      </c>
      <c r="U18" s="218">
        <f t="shared" si="9"/>
        <v>0.72221059242202212</v>
      </c>
    </row>
    <row r="19" spans="1:21" ht="18" customHeight="1">
      <c r="A19" s="27" t="s">
        <v>580</v>
      </c>
      <c r="B19" s="217">
        <v>82</v>
      </c>
      <c r="C19" s="218">
        <f t="shared" si="0"/>
        <v>0.68117627512875889</v>
      </c>
      <c r="D19" s="217">
        <v>72</v>
      </c>
      <c r="E19" s="218">
        <f t="shared" si="1"/>
        <v>0.65639529583371314</v>
      </c>
      <c r="F19" s="217">
        <v>79</v>
      </c>
      <c r="G19" s="218">
        <f t="shared" si="2"/>
        <v>0.71805126340665337</v>
      </c>
      <c r="H19" s="217">
        <v>61</v>
      </c>
      <c r="I19" s="218">
        <f t="shared" si="3"/>
        <v>0.62404092071611261</v>
      </c>
      <c r="J19" s="217">
        <v>50</v>
      </c>
      <c r="K19" s="218">
        <f t="shared" si="4"/>
        <v>0.47623583198399849</v>
      </c>
      <c r="L19" s="217">
        <v>55</v>
      </c>
      <c r="M19" s="218">
        <f t="shared" si="5"/>
        <v>0.61846396041830654</v>
      </c>
      <c r="N19" s="217">
        <v>49</v>
      </c>
      <c r="O19" s="218">
        <f t="shared" si="6"/>
        <v>0.51901281643893649</v>
      </c>
      <c r="P19" s="217">
        <v>57</v>
      </c>
      <c r="Q19" s="218">
        <f t="shared" si="7"/>
        <v>0.55740269900254258</v>
      </c>
      <c r="R19" s="217">
        <v>53</v>
      </c>
      <c r="S19" s="218">
        <f t="shared" si="8"/>
        <v>0.55053495377583883</v>
      </c>
      <c r="T19" s="217">
        <v>64</v>
      </c>
      <c r="U19" s="218">
        <f t="shared" si="9"/>
        <v>0.66987649152187567</v>
      </c>
    </row>
    <row r="20" spans="1:21" ht="18" customHeight="1">
      <c r="A20" s="27" t="s">
        <v>581</v>
      </c>
      <c r="B20" s="217">
        <v>48</v>
      </c>
      <c r="C20" s="218">
        <f t="shared" si="0"/>
        <v>0.39873733178268816</v>
      </c>
      <c r="D20" s="217">
        <v>44</v>
      </c>
      <c r="E20" s="218">
        <f t="shared" si="1"/>
        <v>0.40113045856504692</v>
      </c>
      <c r="F20" s="217">
        <v>40</v>
      </c>
      <c r="G20" s="218">
        <f t="shared" si="2"/>
        <v>0.36357025995273584</v>
      </c>
      <c r="H20" s="217">
        <v>39</v>
      </c>
      <c r="I20" s="218">
        <f t="shared" si="3"/>
        <v>0.39897698209718668</v>
      </c>
      <c r="J20" s="217">
        <v>28</v>
      </c>
      <c r="K20" s="218">
        <f t="shared" si="4"/>
        <v>0.26669206591103917</v>
      </c>
      <c r="L20" s="217">
        <v>25</v>
      </c>
      <c r="M20" s="218">
        <f t="shared" si="5"/>
        <v>0.28111998200832111</v>
      </c>
      <c r="N20" s="217">
        <v>33</v>
      </c>
      <c r="O20" s="218">
        <f t="shared" si="6"/>
        <v>0.34953924372418177</v>
      </c>
      <c r="P20" s="217">
        <v>32</v>
      </c>
      <c r="Q20" s="218">
        <f t="shared" si="7"/>
        <v>0.31292783101897126</v>
      </c>
      <c r="R20" s="217">
        <v>47</v>
      </c>
      <c r="S20" s="218">
        <f t="shared" si="8"/>
        <v>0.48821024202763064</v>
      </c>
      <c r="T20" s="217">
        <v>52</v>
      </c>
      <c r="U20" s="218">
        <f t="shared" si="9"/>
        <v>0.54427464936152403</v>
      </c>
    </row>
    <row r="21" spans="1:21" ht="18" customHeight="1">
      <c r="A21" s="27" t="s">
        <v>583</v>
      </c>
      <c r="B21" s="217">
        <v>3</v>
      </c>
      <c r="C21" s="218">
        <f t="shared" si="0"/>
        <v>2.492108323641801E-2</v>
      </c>
      <c r="D21" s="217">
        <v>10</v>
      </c>
      <c r="E21" s="218">
        <f t="shared" si="1"/>
        <v>9.1166013310237937E-2</v>
      </c>
      <c r="F21" s="217">
        <v>20</v>
      </c>
      <c r="G21" s="218">
        <f t="shared" si="2"/>
        <v>0.18178512997636792</v>
      </c>
      <c r="H21" s="217">
        <v>30</v>
      </c>
      <c r="I21" s="218">
        <f t="shared" si="3"/>
        <v>0.30690537084398978</v>
      </c>
      <c r="J21" s="217">
        <v>20</v>
      </c>
      <c r="K21" s="218">
        <f t="shared" si="4"/>
        <v>0.1904943327935994</v>
      </c>
      <c r="L21" s="217">
        <v>36</v>
      </c>
      <c r="M21" s="218">
        <f t="shared" si="5"/>
        <v>0.40481277409198252</v>
      </c>
      <c r="N21" s="217">
        <v>27</v>
      </c>
      <c r="O21" s="218">
        <f t="shared" si="6"/>
        <v>0.2859866539561487</v>
      </c>
      <c r="P21" s="217">
        <v>42</v>
      </c>
      <c r="Q21" s="218">
        <f t="shared" si="7"/>
        <v>0.41071777821239974</v>
      </c>
      <c r="R21" s="217">
        <v>36</v>
      </c>
      <c r="S21" s="218">
        <f t="shared" si="8"/>
        <v>0.373948270489249</v>
      </c>
      <c r="T21" s="217">
        <v>50</v>
      </c>
      <c r="U21" s="218">
        <f t="shared" si="9"/>
        <v>0.52334100900146541</v>
      </c>
    </row>
    <row r="22" spans="1:21" ht="16.5">
      <c r="A22" s="27" t="s">
        <v>246</v>
      </c>
      <c r="B22" s="217">
        <v>42</v>
      </c>
      <c r="C22" s="218">
        <f t="shared" si="0"/>
        <v>0.34889516530985215</v>
      </c>
      <c r="D22" s="217">
        <v>39</v>
      </c>
      <c r="E22" s="218">
        <f t="shared" si="1"/>
        <v>0.35554745190992798</v>
      </c>
      <c r="F22" s="217">
        <v>48</v>
      </c>
      <c r="G22" s="218">
        <f t="shared" si="2"/>
        <v>0.4362843119432831</v>
      </c>
      <c r="H22" s="217">
        <v>30</v>
      </c>
      <c r="I22" s="218">
        <f t="shared" si="3"/>
        <v>0.30690537084398978</v>
      </c>
      <c r="J22" s="217">
        <v>66</v>
      </c>
      <c r="K22" s="218">
        <f t="shared" si="4"/>
        <v>0.62863129821887798</v>
      </c>
      <c r="L22" s="217">
        <v>40</v>
      </c>
      <c r="M22" s="218">
        <f t="shared" si="5"/>
        <v>0.44979197121331382</v>
      </c>
      <c r="N22" s="217">
        <v>42</v>
      </c>
      <c r="O22" s="218">
        <f t="shared" si="6"/>
        <v>0.44486812837623135</v>
      </c>
      <c r="P22" s="217">
        <v>34</v>
      </c>
      <c r="Q22" s="218">
        <f t="shared" si="7"/>
        <v>0.33248582045765696</v>
      </c>
      <c r="R22" s="217">
        <v>34</v>
      </c>
      <c r="S22" s="218">
        <f t="shared" si="8"/>
        <v>0.3531733665731796</v>
      </c>
      <c r="T22" s="217">
        <v>37</v>
      </c>
      <c r="U22" s="218">
        <f t="shared" si="9"/>
        <v>0.38727234666108434</v>
      </c>
    </row>
    <row r="23" spans="1:21" ht="16.5">
      <c r="A23" s="27" t="s">
        <v>579</v>
      </c>
      <c r="B23" s="217">
        <v>170</v>
      </c>
      <c r="C23" s="218">
        <f t="shared" si="0"/>
        <v>1.4121947167303539</v>
      </c>
      <c r="D23" s="217">
        <v>171</v>
      </c>
      <c r="E23" s="218">
        <f t="shared" si="1"/>
        <v>1.5589388276050689</v>
      </c>
      <c r="F23" s="217">
        <v>147</v>
      </c>
      <c r="G23" s="218">
        <f t="shared" si="2"/>
        <v>1.3361207053263042</v>
      </c>
      <c r="H23" s="217">
        <v>109</v>
      </c>
      <c r="I23" s="218">
        <f t="shared" si="3"/>
        <v>1.1150895140664963</v>
      </c>
      <c r="J23" s="217">
        <v>103</v>
      </c>
      <c r="K23" s="218">
        <f t="shared" si="4"/>
        <v>0.98104581388703693</v>
      </c>
      <c r="L23" s="217">
        <v>111</v>
      </c>
      <c r="M23" s="218">
        <f t="shared" si="5"/>
        <v>1.2481727201169459</v>
      </c>
      <c r="N23" s="217">
        <v>107</v>
      </c>
      <c r="O23" s="218">
        <f t="shared" si="6"/>
        <v>1.1333545175299227</v>
      </c>
      <c r="P23" s="217">
        <v>68</v>
      </c>
      <c r="Q23" s="218">
        <f t="shared" si="7"/>
        <v>0.66497164091531391</v>
      </c>
      <c r="R23" s="217">
        <v>69</v>
      </c>
      <c r="S23" s="218">
        <f t="shared" si="8"/>
        <v>0.71673418510439391</v>
      </c>
      <c r="T23" s="217">
        <v>29</v>
      </c>
      <c r="U23" s="218">
        <f t="shared" si="9"/>
        <v>0.3035377852208499</v>
      </c>
    </row>
    <row r="24" spans="1:21" ht="16.5">
      <c r="A24" s="27" t="s">
        <v>585</v>
      </c>
      <c r="B24" s="217">
        <v>46</v>
      </c>
      <c r="C24" s="218">
        <f t="shared" si="0"/>
        <v>0.38212327629174281</v>
      </c>
      <c r="D24" s="217">
        <v>31</v>
      </c>
      <c r="E24" s="218">
        <f t="shared" si="1"/>
        <v>0.28261464126173763</v>
      </c>
      <c r="F24" s="217">
        <v>32</v>
      </c>
      <c r="G24" s="218">
        <f t="shared" si="2"/>
        <v>0.2908562079621887</v>
      </c>
      <c r="H24" s="217">
        <v>36</v>
      </c>
      <c r="I24" s="218">
        <f t="shared" si="3"/>
        <v>0.36828644501278773</v>
      </c>
      <c r="J24" s="217">
        <v>32</v>
      </c>
      <c r="K24" s="218">
        <f t="shared" si="4"/>
        <v>0.30479093246975902</v>
      </c>
      <c r="L24" s="217">
        <v>27</v>
      </c>
      <c r="M24" s="218">
        <f t="shared" si="5"/>
        <v>0.30360958056898685</v>
      </c>
      <c r="N24" s="217">
        <v>30</v>
      </c>
      <c r="O24" s="218">
        <f t="shared" si="6"/>
        <v>0.31776294884016526</v>
      </c>
      <c r="P24" s="217">
        <v>26</v>
      </c>
      <c r="Q24" s="218">
        <f t="shared" si="7"/>
        <v>0.25425386270291411</v>
      </c>
      <c r="R24" s="217">
        <v>27</v>
      </c>
      <c r="S24" s="218">
        <f t="shared" si="8"/>
        <v>0.28046120286693677</v>
      </c>
      <c r="T24" s="217">
        <v>27</v>
      </c>
      <c r="U24" s="218">
        <f t="shared" si="9"/>
        <v>0.28260414486079133</v>
      </c>
    </row>
    <row r="25" spans="1:21" ht="16.5">
      <c r="A25" s="98" t="s">
        <v>609</v>
      </c>
      <c r="B25" s="217" t="s">
        <v>77</v>
      </c>
      <c r="C25" s="218" t="str">
        <f t="shared" si="0"/>
        <v>-</v>
      </c>
      <c r="D25" s="217">
        <v>10</v>
      </c>
      <c r="E25" s="218">
        <f t="shared" si="1"/>
        <v>9.1166013310237937E-2</v>
      </c>
      <c r="F25" s="217">
        <v>2</v>
      </c>
      <c r="G25" s="218">
        <f t="shared" si="2"/>
        <v>1.8178512997636793E-2</v>
      </c>
      <c r="H25" s="217" t="s">
        <v>77</v>
      </c>
      <c r="I25" s="218" t="str">
        <f t="shared" si="3"/>
        <v>-</v>
      </c>
      <c r="J25" s="217" t="s">
        <v>77</v>
      </c>
      <c r="K25" s="218" t="str">
        <f t="shared" si="4"/>
        <v>-</v>
      </c>
      <c r="L25" s="217">
        <v>8</v>
      </c>
      <c r="M25" s="218">
        <f t="shared" si="5"/>
        <v>8.9958394242662762E-2</v>
      </c>
      <c r="N25" s="217">
        <v>1</v>
      </c>
      <c r="O25" s="218">
        <f t="shared" si="6"/>
        <v>1.0592098294672173E-2</v>
      </c>
      <c r="P25" s="217">
        <v>11</v>
      </c>
      <c r="Q25" s="218">
        <f t="shared" si="7"/>
        <v>0.10756894191277137</v>
      </c>
      <c r="R25" s="217" t="s">
        <v>77</v>
      </c>
      <c r="S25" s="218" t="str">
        <f t="shared" si="8"/>
        <v>-</v>
      </c>
      <c r="T25" s="217">
        <v>20</v>
      </c>
      <c r="U25" s="218">
        <f t="shared" si="9"/>
        <v>0.20933640360058614</v>
      </c>
    </row>
    <row r="26" spans="1:21" ht="16.5">
      <c r="A26" s="27" t="s">
        <v>256</v>
      </c>
      <c r="B26" s="217">
        <v>45</v>
      </c>
      <c r="C26" s="218">
        <f t="shared" si="0"/>
        <v>0.37381624854627016</v>
      </c>
      <c r="D26" s="217">
        <v>50</v>
      </c>
      <c r="E26" s="218">
        <f t="shared" si="1"/>
        <v>0.45583006655118968</v>
      </c>
      <c r="F26" s="217">
        <v>38</v>
      </c>
      <c r="G26" s="218">
        <f t="shared" si="2"/>
        <v>0.34539174695509911</v>
      </c>
      <c r="H26" s="217">
        <v>29</v>
      </c>
      <c r="I26" s="218">
        <f t="shared" si="3"/>
        <v>0.29667519181585678</v>
      </c>
      <c r="J26" s="217">
        <v>33</v>
      </c>
      <c r="K26" s="218">
        <f t="shared" si="4"/>
        <v>0.31431564910943899</v>
      </c>
      <c r="L26" s="217">
        <v>20</v>
      </c>
      <c r="M26" s="218">
        <f t="shared" si="5"/>
        <v>0.22489598560665691</v>
      </c>
      <c r="N26" s="217">
        <v>20</v>
      </c>
      <c r="O26" s="218">
        <f t="shared" si="6"/>
        <v>0.21184196589344351</v>
      </c>
      <c r="P26" s="217">
        <v>6</v>
      </c>
      <c r="Q26" s="218">
        <f t="shared" si="7"/>
        <v>5.8673968316057104E-2</v>
      </c>
      <c r="R26" s="217">
        <v>16</v>
      </c>
      <c r="S26" s="218">
        <f t="shared" si="8"/>
        <v>0.1661992313285551</v>
      </c>
      <c r="T26" s="217">
        <v>16</v>
      </c>
      <c r="U26" s="218">
        <f t="shared" si="9"/>
        <v>0.16746912288046892</v>
      </c>
    </row>
    <row r="27" spans="1:21" ht="16.5">
      <c r="A27" s="27" t="s">
        <v>591</v>
      </c>
      <c r="B27" s="217">
        <v>88</v>
      </c>
      <c r="C27" s="218">
        <f t="shared" si="0"/>
        <v>0.7310184416015949</v>
      </c>
      <c r="D27" s="217">
        <v>56</v>
      </c>
      <c r="E27" s="218">
        <f t="shared" si="1"/>
        <v>0.51052967453733256</v>
      </c>
      <c r="F27" s="217">
        <v>43</v>
      </c>
      <c r="G27" s="218">
        <f t="shared" si="2"/>
        <v>0.39083802944919105</v>
      </c>
      <c r="H27" s="217">
        <v>22</v>
      </c>
      <c r="I27" s="218">
        <f t="shared" si="3"/>
        <v>0.22506393861892582</v>
      </c>
      <c r="J27" s="217">
        <v>23</v>
      </c>
      <c r="K27" s="218">
        <f t="shared" si="4"/>
        <v>0.21906848271263929</v>
      </c>
      <c r="L27" s="217">
        <v>9</v>
      </c>
      <c r="M27" s="218">
        <f t="shared" si="5"/>
        <v>0.10120319352299563</v>
      </c>
      <c r="N27" s="217">
        <v>13</v>
      </c>
      <c r="O27" s="218">
        <f t="shared" si="6"/>
        <v>0.13769727783073826</v>
      </c>
      <c r="P27" s="217">
        <v>7</v>
      </c>
      <c r="Q27" s="218">
        <f t="shared" si="7"/>
        <v>6.8452963035399966E-2</v>
      </c>
      <c r="R27" s="217">
        <v>8</v>
      </c>
      <c r="S27" s="218">
        <f t="shared" si="8"/>
        <v>8.3099615664277551E-2</v>
      </c>
      <c r="T27" s="217">
        <v>14</v>
      </c>
      <c r="U27" s="218">
        <f t="shared" si="9"/>
        <v>0.14653548252041029</v>
      </c>
    </row>
    <row r="28" spans="1:21" ht="16.5">
      <c r="A28" s="27" t="s">
        <v>584</v>
      </c>
      <c r="B28" s="217">
        <v>101</v>
      </c>
      <c r="C28" s="218">
        <f t="shared" si="0"/>
        <v>0.83900980229273969</v>
      </c>
      <c r="D28" s="217">
        <v>133</v>
      </c>
      <c r="E28" s="218">
        <f t="shared" si="1"/>
        <v>1.2125079770261646</v>
      </c>
      <c r="F28" s="217">
        <v>64</v>
      </c>
      <c r="G28" s="218">
        <f t="shared" si="2"/>
        <v>0.58171241592437739</v>
      </c>
      <c r="H28" s="217">
        <v>64</v>
      </c>
      <c r="I28" s="218">
        <f t="shared" si="3"/>
        <v>0.65473145780051156</v>
      </c>
      <c r="J28" s="217">
        <v>90</v>
      </c>
      <c r="K28" s="218">
        <f t="shared" si="4"/>
        <v>0.85722449757119723</v>
      </c>
      <c r="L28" s="217">
        <v>79</v>
      </c>
      <c r="M28" s="218">
        <f t="shared" si="5"/>
        <v>0.88833914314629481</v>
      </c>
      <c r="N28" s="217">
        <v>45</v>
      </c>
      <c r="O28" s="218">
        <f t="shared" si="6"/>
        <v>0.47664442326024786</v>
      </c>
      <c r="P28" s="217">
        <v>28</v>
      </c>
      <c r="Q28" s="218">
        <f t="shared" si="7"/>
        <v>0.27381185214159987</v>
      </c>
      <c r="R28" s="217">
        <v>30</v>
      </c>
      <c r="S28" s="218">
        <f t="shared" si="8"/>
        <v>0.31162355874104081</v>
      </c>
      <c r="T28" s="217">
        <v>13</v>
      </c>
      <c r="U28" s="218">
        <f t="shared" si="9"/>
        <v>0.13606866234038101</v>
      </c>
    </row>
    <row r="29" spans="1:21" ht="16.5">
      <c r="A29" s="27" t="s">
        <v>587</v>
      </c>
      <c r="B29" s="217">
        <v>76</v>
      </c>
      <c r="C29" s="218">
        <f t="shared" si="0"/>
        <v>0.63133410865592299</v>
      </c>
      <c r="D29" s="217">
        <v>18</v>
      </c>
      <c r="E29" s="218">
        <f t="shared" si="1"/>
        <v>0.16409882395842829</v>
      </c>
      <c r="F29" s="217">
        <v>40</v>
      </c>
      <c r="G29" s="218">
        <f t="shared" si="2"/>
        <v>0.36357025995273584</v>
      </c>
      <c r="H29" s="217">
        <v>23</v>
      </c>
      <c r="I29" s="218">
        <f t="shared" si="3"/>
        <v>0.23529411764705879</v>
      </c>
      <c r="J29" s="217">
        <v>9</v>
      </c>
      <c r="K29" s="218">
        <f t="shared" si="4"/>
        <v>8.572244975711972E-2</v>
      </c>
      <c r="L29" s="217">
        <v>13</v>
      </c>
      <c r="M29" s="218">
        <f t="shared" si="5"/>
        <v>0.146182390644327</v>
      </c>
      <c r="N29" s="217">
        <v>7</v>
      </c>
      <c r="O29" s="218">
        <f t="shared" si="6"/>
        <v>7.4144688062705216E-2</v>
      </c>
      <c r="P29" s="217">
        <v>12</v>
      </c>
      <c r="Q29" s="218">
        <f t="shared" si="7"/>
        <v>0.11734793663211421</v>
      </c>
      <c r="R29" s="217">
        <v>16</v>
      </c>
      <c r="S29" s="218">
        <f t="shared" si="8"/>
        <v>0.1661992313285551</v>
      </c>
      <c r="T29" s="217">
        <v>13</v>
      </c>
      <c r="U29" s="218">
        <f t="shared" si="9"/>
        <v>0.13606866234038101</v>
      </c>
    </row>
    <row r="30" spans="1:21" ht="16.5">
      <c r="A30" s="27" t="s">
        <v>590</v>
      </c>
      <c r="B30" s="217">
        <v>105</v>
      </c>
      <c r="C30" s="218">
        <f t="shared" si="0"/>
        <v>0.87223791327463041</v>
      </c>
      <c r="D30" s="217">
        <v>41</v>
      </c>
      <c r="E30" s="218">
        <f t="shared" si="1"/>
        <v>0.37378065457197557</v>
      </c>
      <c r="F30" s="217">
        <v>36</v>
      </c>
      <c r="G30" s="218">
        <f t="shared" si="2"/>
        <v>0.32721323395746227</v>
      </c>
      <c r="H30" s="217">
        <v>38</v>
      </c>
      <c r="I30" s="218">
        <f t="shared" si="3"/>
        <v>0.38874680306905374</v>
      </c>
      <c r="J30" s="217">
        <v>29</v>
      </c>
      <c r="K30" s="218">
        <f t="shared" si="4"/>
        <v>0.27621678255071913</v>
      </c>
      <c r="L30" s="217">
        <v>36</v>
      </c>
      <c r="M30" s="218">
        <f t="shared" si="5"/>
        <v>0.40481277409198252</v>
      </c>
      <c r="N30" s="217">
        <v>21</v>
      </c>
      <c r="O30" s="218">
        <f t="shared" si="6"/>
        <v>0.22243406418811568</v>
      </c>
      <c r="P30" s="217">
        <v>25</v>
      </c>
      <c r="Q30" s="218">
        <f t="shared" si="7"/>
        <v>0.24447486798357129</v>
      </c>
      <c r="R30" s="217">
        <v>9</v>
      </c>
      <c r="S30" s="218">
        <f t="shared" si="8"/>
        <v>9.348706762231225E-2</v>
      </c>
      <c r="T30" s="217">
        <v>11</v>
      </c>
      <c r="U30" s="218">
        <f t="shared" si="9"/>
        <v>0.11513502198032238</v>
      </c>
    </row>
    <row r="31" spans="1:21" ht="16.5">
      <c r="A31" s="98" t="s">
        <v>586</v>
      </c>
      <c r="B31" s="217">
        <v>17</v>
      </c>
      <c r="C31" s="218">
        <f t="shared" si="0"/>
        <v>0.14121947167303539</v>
      </c>
      <c r="D31" s="217">
        <v>14</v>
      </c>
      <c r="E31" s="218">
        <f t="shared" si="1"/>
        <v>0.12763241863433314</v>
      </c>
      <c r="F31" s="217">
        <v>10</v>
      </c>
      <c r="G31" s="218">
        <f t="shared" si="2"/>
        <v>9.089256498818396E-2</v>
      </c>
      <c r="H31" s="217">
        <v>3</v>
      </c>
      <c r="I31" s="218">
        <f t="shared" si="3"/>
        <v>3.0690537084398974E-2</v>
      </c>
      <c r="J31" s="217">
        <v>2</v>
      </c>
      <c r="K31" s="218">
        <f t="shared" si="4"/>
        <v>1.9049433279359939E-2</v>
      </c>
      <c r="L31" s="217" t="s">
        <v>77</v>
      </c>
      <c r="M31" s="218" t="str">
        <f t="shared" si="5"/>
        <v>-</v>
      </c>
      <c r="N31" s="217">
        <v>1</v>
      </c>
      <c r="O31" s="218">
        <f t="shared" si="6"/>
        <v>1.0592098294672173E-2</v>
      </c>
      <c r="P31" s="217">
        <v>8</v>
      </c>
      <c r="Q31" s="218">
        <f t="shared" si="7"/>
        <v>7.8231957754742815E-2</v>
      </c>
      <c r="R31" s="217">
        <v>24</v>
      </c>
      <c r="S31" s="218">
        <f t="shared" si="8"/>
        <v>0.24929884699283264</v>
      </c>
      <c r="T31" s="217">
        <v>10</v>
      </c>
      <c r="U31" s="218">
        <f t="shared" si="9"/>
        <v>0.10466820180029307</v>
      </c>
    </row>
    <row r="32" spans="1:21" ht="16.5">
      <c r="A32" s="27" t="s">
        <v>589</v>
      </c>
      <c r="B32" s="217">
        <v>16</v>
      </c>
      <c r="C32" s="218">
        <f t="shared" si="0"/>
        <v>0.13291244392756274</v>
      </c>
      <c r="D32" s="217">
        <v>22</v>
      </c>
      <c r="E32" s="218">
        <f t="shared" si="1"/>
        <v>0.20056522928252346</v>
      </c>
      <c r="F32" s="217">
        <v>7</v>
      </c>
      <c r="G32" s="218">
        <f t="shared" si="2"/>
        <v>6.3624795491728781E-2</v>
      </c>
      <c r="H32" s="217">
        <v>17</v>
      </c>
      <c r="I32" s="218">
        <f t="shared" si="3"/>
        <v>0.17391304347826086</v>
      </c>
      <c r="J32" s="217">
        <v>14</v>
      </c>
      <c r="K32" s="218">
        <f t="shared" si="4"/>
        <v>0.13334603295551958</v>
      </c>
      <c r="L32" s="217">
        <v>9</v>
      </c>
      <c r="M32" s="218">
        <f t="shared" si="5"/>
        <v>0.10120319352299563</v>
      </c>
      <c r="N32" s="217">
        <v>28</v>
      </c>
      <c r="O32" s="218">
        <f t="shared" si="6"/>
        <v>0.29657875225082087</v>
      </c>
      <c r="P32" s="217">
        <v>30</v>
      </c>
      <c r="Q32" s="218">
        <f t="shared" si="7"/>
        <v>0.29336984158028556</v>
      </c>
      <c r="R32" s="217">
        <v>14</v>
      </c>
      <c r="S32" s="218">
        <f t="shared" si="8"/>
        <v>0.1454243274124857</v>
      </c>
      <c r="T32" s="217">
        <v>10</v>
      </c>
      <c r="U32" s="218">
        <f t="shared" si="9"/>
        <v>0.10466820180029307</v>
      </c>
    </row>
    <row r="33" spans="1:21" ht="16.5">
      <c r="A33" s="27" t="s">
        <v>592</v>
      </c>
      <c r="B33" s="217">
        <v>11</v>
      </c>
      <c r="C33" s="218">
        <f t="shared" si="0"/>
        <v>9.1377305200199363E-2</v>
      </c>
      <c r="D33" s="217">
        <v>5</v>
      </c>
      <c r="E33" s="218">
        <f t="shared" si="1"/>
        <v>4.5583006655118968E-2</v>
      </c>
      <c r="F33" s="217">
        <v>7</v>
      </c>
      <c r="G33" s="218">
        <f t="shared" si="2"/>
        <v>6.3624795491728781E-2</v>
      </c>
      <c r="H33" s="217">
        <v>6</v>
      </c>
      <c r="I33" s="218">
        <f t="shared" si="3"/>
        <v>6.1381074168797949E-2</v>
      </c>
      <c r="J33" s="217">
        <v>7</v>
      </c>
      <c r="K33" s="218">
        <f t="shared" si="4"/>
        <v>6.6673016477759792E-2</v>
      </c>
      <c r="L33" s="217">
        <v>7</v>
      </c>
      <c r="M33" s="218">
        <f t="shared" si="5"/>
        <v>7.8713594962329922E-2</v>
      </c>
      <c r="N33" s="217">
        <v>9</v>
      </c>
      <c r="O33" s="218">
        <f t="shared" si="6"/>
        <v>9.532888465204957E-2</v>
      </c>
      <c r="P33" s="217">
        <v>6</v>
      </c>
      <c r="Q33" s="218">
        <f t="shared" si="7"/>
        <v>5.8673968316057104E-2</v>
      </c>
      <c r="R33" s="217">
        <v>5</v>
      </c>
      <c r="S33" s="218">
        <f t="shared" si="8"/>
        <v>5.1937259790173468E-2</v>
      </c>
      <c r="T33" s="217">
        <v>9</v>
      </c>
      <c r="U33" s="218">
        <f t="shared" si="9"/>
        <v>9.4201381620263758E-2</v>
      </c>
    </row>
    <row r="34" spans="1:21" ht="16.5">
      <c r="A34" s="98" t="s">
        <v>588</v>
      </c>
      <c r="B34" s="217">
        <v>2</v>
      </c>
      <c r="C34" s="218">
        <f t="shared" si="0"/>
        <v>1.6614055490945343E-2</v>
      </c>
      <c r="D34" s="217">
        <v>6</v>
      </c>
      <c r="E34" s="218">
        <f t="shared" si="1"/>
        <v>5.4699607986142769E-2</v>
      </c>
      <c r="F34" s="217">
        <v>1</v>
      </c>
      <c r="G34" s="218">
        <f t="shared" si="2"/>
        <v>9.0892564988183967E-3</v>
      </c>
      <c r="H34" s="217">
        <v>4</v>
      </c>
      <c r="I34" s="218">
        <f t="shared" si="3"/>
        <v>4.0920716112531973E-2</v>
      </c>
      <c r="J34" s="217">
        <v>5</v>
      </c>
      <c r="K34" s="218">
        <f t="shared" si="4"/>
        <v>4.7623583198399849E-2</v>
      </c>
      <c r="L34" s="217">
        <v>6</v>
      </c>
      <c r="M34" s="218">
        <f t="shared" si="5"/>
        <v>6.7468795681997082E-2</v>
      </c>
      <c r="N34" s="217">
        <v>1</v>
      </c>
      <c r="O34" s="218">
        <f t="shared" si="6"/>
        <v>1.0592098294672173E-2</v>
      </c>
      <c r="P34" s="217">
        <v>20</v>
      </c>
      <c r="Q34" s="218">
        <f t="shared" si="7"/>
        <v>0.19557989438685705</v>
      </c>
      <c r="R34" s="217">
        <v>15</v>
      </c>
      <c r="S34" s="218">
        <f t="shared" si="8"/>
        <v>0.1558117793705204</v>
      </c>
      <c r="T34" s="217">
        <v>8</v>
      </c>
      <c r="U34" s="218">
        <f t="shared" si="9"/>
        <v>8.3734561440234459E-2</v>
      </c>
    </row>
    <row r="35" spans="1:21" ht="16.5">
      <c r="A35" s="98" t="s">
        <v>595</v>
      </c>
      <c r="B35" s="217">
        <v>19</v>
      </c>
      <c r="C35" s="218">
        <f t="shared" si="0"/>
        <v>0.15783352716398075</v>
      </c>
      <c r="D35" s="217">
        <v>8</v>
      </c>
      <c r="E35" s="218">
        <f t="shared" si="1"/>
        <v>7.2932810648190363E-2</v>
      </c>
      <c r="F35" s="217">
        <v>13</v>
      </c>
      <c r="G35" s="218">
        <f t="shared" si="2"/>
        <v>0.11816033448463915</v>
      </c>
      <c r="H35" s="217" t="s">
        <v>77</v>
      </c>
      <c r="I35" s="218" t="str">
        <f t="shared" si="3"/>
        <v>-</v>
      </c>
      <c r="J35" s="217">
        <v>1</v>
      </c>
      <c r="K35" s="218">
        <f t="shared" si="4"/>
        <v>9.5247166396799695E-3</v>
      </c>
      <c r="L35" s="217" t="s">
        <v>77</v>
      </c>
      <c r="M35" s="218" t="str">
        <f t="shared" si="5"/>
        <v>-</v>
      </c>
      <c r="N35" s="217" t="s">
        <v>77</v>
      </c>
      <c r="O35" s="218" t="str">
        <f t="shared" si="6"/>
        <v>-</v>
      </c>
      <c r="P35" s="217">
        <v>1</v>
      </c>
      <c r="Q35" s="218">
        <f t="shared" si="7"/>
        <v>9.7789947193428518E-3</v>
      </c>
      <c r="R35" s="217">
        <v>3</v>
      </c>
      <c r="S35" s="218">
        <f t="shared" si="8"/>
        <v>3.116235587410408E-2</v>
      </c>
      <c r="T35" s="35">
        <v>4</v>
      </c>
      <c r="U35" s="218">
        <f t="shared" si="9"/>
        <v>4.186728072011723E-2</v>
      </c>
    </row>
    <row r="36" spans="1:21" ht="18" customHeight="1">
      <c r="A36" s="27" t="s">
        <v>598</v>
      </c>
      <c r="B36" s="217">
        <v>61</v>
      </c>
      <c r="C36" s="218">
        <f t="shared" si="0"/>
        <v>0.50672869247383279</v>
      </c>
      <c r="D36" s="217">
        <v>85</v>
      </c>
      <c r="E36" s="218">
        <f t="shared" si="1"/>
        <v>0.77491111313702254</v>
      </c>
      <c r="F36" s="217">
        <v>35</v>
      </c>
      <c r="G36" s="218">
        <f t="shared" si="2"/>
        <v>0.3181239774586439</v>
      </c>
      <c r="H36" s="217">
        <v>12</v>
      </c>
      <c r="I36" s="218">
        <f t="shared" si="3"/>
        <v>0.1227621483375959</v>
      </c>
      <c r="J36" s="217">
        <v>12</v>
      </c>
      <c r="K36" s="218">
        <f t="shared" si="4"/>
        <v>0.11429659967615964</v>
      </c>
      <c r="L36" s="217">
        <v>12</v>
      </c>
      <c r="M36" s="218">
        <f t="shared" si="5"/>
        <v>0.13493759136399416</v>
      </c>
      <c r="N36" s="217">
        <v>8</v>
      </c>
      <c r="O36" s="218">
        <f t="shared" si="6"/>
        <v>8.4736786357377386E-2</v>
      </c>
      <c r="P36" s="217">
        <v>5</v>
      </c>
      <c r="Q36" s="218">
        <f t="shared" si="7"/>
        <v>4.8894973596714263E-2</v>
      </c>
      <c r="R36" s="217">
        <v>2</v>
      </c>
      <c r="S36" s="218">
        <f t="shared" si="8"/>
        <v>2.0774903916069388E-2</v>
      </c>
      <c r="T36" s="217">
        <v>3</v>
      </c>
      <c r="U36" s="218">
        <f t="shared" si="9"/>
        <v>3.1400460540087924E-2</v>
      </c>
    </row>
    <row r="37" spans="1:21" ht="18" customHeight="1">
      <c r="A37" s="27" t="s">
        <v>604</v>
      </c>
      <c r="B37" s="217" t="s">
        <v>77</v>
      </c>
      <c r="C37" s="218" t="str">
        <f t="shared" si="0"/>
        <v>-</v>
      </c>
      <c r="D37" s="217" t="s">
        <v>77</v>
      </c>
      <c r="E37" s="218" t="str">
        <f t="shared" si="1"/>
        <v>-</v>
      </c>
      <c r="F37" s="217">
        <v>1</v>
      </c>
      <c r="G37" s="218">
        <f t="shared" si="2"/>
        <v>9.0892564988183967E-3</v>
      </c>
      <c r="H37" s="217" t="s">
        <v>77</v>
      </c>
      <c r="I37" s="218" t="str">
        <f t="shared" si="3"/>
        <v>-</v>
      </c>
      <c r="J37" s="217" t="s">
        <v>77</v>
      </c>
      <c r="K37" s="218" t="str">
        <f t="shared" si="4"/>
        <v>-</v>
      </c>
      <c r="L37" s="217">
        <v>3</v>
      </c>
      <c r="M37" s="218">
        <f t="shared" si="5"/>
        <v>3.3734397840998541E-2</v>
      </c>
      <c r="N37" s="217" t="s">
        <v>77</v>
      </c>
      <c r="O37" s="218" t="str">
        <f t="shared" si="6"/>
        <v>-</v>
      </c>
      <c r="P37" s="217">
        <v>1</v>
      </c>
      <c r="Q37" s="218">
        <f t="shared" si="7"/>
        <v>9.7789947193428518E-3</v>
      </c>
      <c r="R37" s="217">
        <v>1</v>
      </c>
      <c r="S37" s="218">
        <f t="shared" si="8"/>
        <v>1.0387451958034694E-2</v>
      </c>
      <c r="T37" s="217">
        <v>3</v>
      </c>
      <c r="U37" s="218">
        <f t="shared" si="9"/>
        <v>3.1400460540087924E-2</v>
      </c>
    </row>
    <row r="38" spans="1:21" ht="18" customHeight="1">
      <c r="A38" s="219" t="s">
        <v>596</v>
      </c>
      <c r="B38" s="217">
        <v>1</v>
      </c>
      <c r="C38" s="218">
        <f t="shared" si="0"/>
        <v>8.3070277454726713E-3</v>
      </c>
      <c r="D38" s="217">
        <v>6</v>
      </c>
      <c r="E38" s="218">
        <f t="shared" si="1"/>
        <v>5.4699607986142769E-2</v>
      </c>
      <c r="F38" s="217" t="s">
        <v>77</v>
      </c>
      <c r="G38" s="218" t="str">
        <f t="shared" si="2"/>
        <v>-</v>
      </c>
      <c r="H38" s="217">
        <v>4</v>
      </c>
      <c r="I38" s="218">
        <f t="shared" si="3"/>
        <v>4.0920716112531973E-2</v>
      </c>
      <c r="J38" s="217">
        <v>4</v>
      </c>
      <c r="K38" s="218">
        <f t="shared" si="4"/>
        <v>3.8098866558719878E-2</v>
      </c>
      <c r="L38" s="217">
        <v>2</v>
      </c>
      <c r="M38" s="218">
        <f t="shared" si="5"/>
        <v>2.248959856066569E-2</v>
      </c>
      <c r="N38" s="217">
        <v>1</v>
      </c>
      <c r="O38" s="218">
        <f t="shared" si="6"/>
        <v>1.0592098294672173E-2</v>
      </c>
      <c r="P38" s="217" t="s">
        <v>77</v>
      </c>
      <c r="Q38" s="218" t="str">
        <f t="shared" si="7"/>
        <v>-</v>
      </c>
      <c r="R38" s="217">
        <v>3</v>
      </c>
      <c r="S38" s="218">
        <f t="shared" si="8"/>
        <v>3.116235587410408E-2</v>
      </c>
      <c r="T38" s="217">
        <v>2</v>
      </c>
      <c r="U38" s="218">
        <f t="shared" si="9"/>
        <v>2.0933640360058615E-2</v>
      </c>
    </row>
    <row r="39" spans="1:21" ht="18" customHeight="1">
      <c r="A39" s="27" t="s">
        <v>597</v>
      </c>
      <c r="B39" s="217">
        <v>1</v>
      </c>
      <c r="C39" s="218">
        <f t="shared" si="0"/>
        <v>8.3070277454726713E-3</v>
      </c>
      <c r="D39" s="217">
        <v>1</v>
      </c>
      <c r="E39" s="218">
        <f t="shared" si="1"/>
        <v>9.1166013310237954E-3</v>
      </c>
      <c r="F39" s="217">
        <v>2</v>
      </c>
      <c r="G39" s="218">
        <f t="shared" si="2"/>
        <v>1.8178512997636793E-2</v>
      </c>
      <c r="H39" s="217">
        <v>4</v>
      </c>
      <c r="I39" s="218">
        <f t="shared" si="3"/>
        <v>4.0920716112531973E-2</v>
      </c>
      <c r="J39" s="217">
        <v>3</v>
      </c>
      <c r="K39" s="218">
        <f t="shared" si="4"/>
        <v>2.857414991903991E-2</v>
      </c>
      <c r="L39" s="217" t="s">
        <v>77</v>
      </c>
      <c r="M39" s="218" t="str">
        <f t="shared" si="5"/>
        <v>-</v>
      </c>
      <c r="N39" s="217">
        <v>4</v>
      </c>
      <c r="O39" s="218">
        <f t="shared" si="6"/>
        <v>4.2368393178688693E-2</v>
      </c>
      <c r="P39" s="217">
        <v>4</v>
      </c>
      <c r="Q39" s="218">
        <f t="shared" si="7"/>
        <v>3.9115978877371407E-2</v>
      </c>
      <c r="R39" s="217">
        <v>2</v>
      </c>
      <c r="S39" s="218">
        <f t="shared" si="8"/>
        <v>2.0774903916069388E-2</v>
      </c>
      <c r="T39" s="217">
        <v>1</v>
      </c>
      <c r="U39" s="218">
        <f t="shared" si="9"/>
        <v>1.0466820180029307E-2</v>
      </c>
    </row>
    <row r="40" spans="1:21" ht="18" customHeight="1">
      <c r="A40" s="27" t="s">
        <v>599</v>
      </c>
      <c r="B40" s="217">
        <v>3</v>
      </c>
      <c r="C40" s="218">
        <f t="shared" si="0"/>
        <v>2.492108323641801E-2</v>
      </c>
      <c r="D40" s="217" t="s">
        <v>77</v>
      </c>
      <c r="E40" s="218" t="str">
        <f t="shared" si="1"/>
        <v>-</v>
      </c>
      <c r="F40" s="217">
        <v>3</v>
      </c>
      <c r="G40" s="218">
        <f t="shared" si="2"/>
        <v>2.7267769496455194E-2</v>
      </c>
      <c r="H40" s="217" t="s">
        <v>77</v>
      </c>
      <c r="I40" s="218" t="str">
        <f t="shared" si="3"/>
        <v>-</v>
      </c>
      <c r="J40" s="217">
        <v>2</v>
      </c>
      <c r="K40" s="218">
        <f t="shared" si="4"/>
        <v>1.9049433279359939E-2</v>
      </c>
      <c r="L40" s="217" t="s">
        <v>77</v>
      </c>
      <c r="M40" s="218" t="str">
        <f t="shared" si="5"/>
        <v>-</v>
      </c>
      <c r="N40" s="217">
        <v>1</v>
      </c>
      <c r="O40" s="218">
        <f t="shared" si="6"/>
        <v>1.0592098294672173E-2</v>
      </c>
      <c r="P40" s="217">
        <v>4</v>
      </c>
      <c r="Q40" s="218">
        <f t="shared" si="7"/>
        <v>3.9115978877371407E-2</v>
      </c>
      <c r="R40" s="217">
        <v>2</v>
      </c>
      <c r="S40" s="218">
        <f t="shared" si="8"/>
        <v>2.0774903916069388E-2</v>
      </c>
      <c r="T40" s="217">
        <v>1</v>
      </c>
      <c r="U40" s="218">
        <f t="shared" si="9"/>
        <v>1.0466820180029307E-2</v>
      </c>
    </row>
    <row r="41" spans="1:21" ht="18" customHeight="1">
      <c r="A41" s="27" t="s">
        <v>600</v>
      </c>
      <c r="B41" s="217" t="s">
        <v>77</v>
      </c>
      <c r="C41" s="218" t="str">
        <f t="shared" si="0"/>
        <v>-</v>
      </c>
      <c r="D41" s="217" t="s">
        <v>77</v>
      </c>
      <c r="E41" s="218" t="str">
        <f t="shared" si="1"/>
        <v>-</v>
      </c>
      <c r="F41" s="217" t="s">
        <v>77</v>
      </c>
      <c r="G41" s="218" t="str">
        <f t="shared" si="2"/>
        <v>-</v>
      </c>
      <c r="H41" s="217">
        <v>3</v>
      </c>
      <c r="I41" s="218">
        <f t="shared" si="3"/>
        <v>3.0690537084398974E-2</v>
      </c>
      <c r="J41" s="217" t="s">
        <v>77</v>
      </c>
      <c r="K41" s="218" t="str">
        <f t="shared" si="4"/>
        <v>-</v>
      </c>
      <c r="L41" s="217">
        <v>3</v>
      </c>
      <c r="M41" s="218">
        <f t="shared" si="5"/>
        <v>3.3734397840998541E-2</v>
      </c>
      <c r="N41" s="217" t="s">
        <v>77</v>
      </c>
      <c r="O41" s="218" t="str">
        <f t="shared" si="6"/>
        <v>-</v>
      </c>
      <c r="P41" s="217">
        <v>1</v>
      </c>
      <c r="Q41" s="218">
        <f t="shared" si="7"/>
        <v>9.7789947193428518E-3</v>
      </c>
      <c r="R41" s="217">
        <v>1</v>
      </c>
      <c r="S41" s="218">
        <f t="shared" si="8"/>
        <v>1.0387451958034694E-2</v>
      </c>
      <c r="T41" s="217">
        <v>1</v>
      </c>
      <c r="U41" s="218">
        <f t="shared" si="9"/>
        <v>1.0466820180029307E-2</v>
      </c>
    </row>
    <row r="42" spans="1:21" ht="16.5">
      <c r="A42" s="220" t="s">
        <v>603</v>
      </c>
      <c r="B42" s="217">
        <v>1</v>
      </c>
      <c r="C42" s="218">
        <f t="shared" si="0"/>
        <v>8.3070277454726713E-3</v>
      </c>
      <c r="D42" s="217">
        <v>1</v>
      </c>
      <c r="E42" s="218">
        <f t="shared" si="1"/>
        <v>9.1166013310237954E-3</v>
      </c>
      <c r="F42" s="217">
        <v>4</v>
      </c>
      <c r="G42" s="218">
        <f t="shared" si="2"/>
        <v>3.6357025995273587E-2</v>
      </c>
      <c r="H42" s="217">
        <v>4</v>
      </c>
      <c r="I42" s="218">
        <f t="shared" si="3"/>
        <v>4.0920716112531973E-2</v>
      </c>
      <c r="J42" s="217">
        <v>5</v>
      </c>
      <c r="K42" s="218">
        <f t="shared" si="4"/>
        <v>4.7623583198399849E-2</v>
      </c>
      <c r="L42" s="217">
        <v>1</v>
      </c>
      <c r="M42" s="218">
        <f t="shared" si="5"/>
        <v>1.1244799280332845E-2</v>
      </c>
      <c r="N42" s="217">
        <v>1</v>
      </c>
      <c r="O42" s="218">
        <f t="shared" si="6"/>
        <v>1.0592098294672173E-2</v>
      </c>
      <c r="P42" s="217" t="s">
        <v>77</v>
      </c>
      <c r="Q42" s="218" t="str">
        <f t="shared" si="7"/>
        <v>-</v>
      </c>
      <c r="R42" s="217">
        <v>1</v>
      </c>
      <c r="S42" s="218">
        <f t="shared" si="8"/>
        <v>1.0387451958034694E-2</v>
      </c>
      <c r="T42" s="217">
        <v>1</v>
      </c>
      <c r="U42" s="218">
        <f t="shared" si="9"/>
        <v>1.0466820180029307E-2</v>
      </c>
    </row>
    <row r="43" spans="1:21" ht="16.5">
      <c r="A43" s="27" t="s">
        <v>593</v>
      </c>
      <c r="B43" s="217">
        <v>32</v>
      </c>
      <c r="C43" s="218">
        <f t="shared" si="0"/>
        <v>0.26582488785512548</v>
      </c>
      <c r="D43" s="217">
        <v>13</v>
      </c>
      <c r="E43" s="218">
        <f t="shared" si="1"/>
        <v>0.11851581730330932</v>
      </c>
      <c r="F43" s="217">
        <v>13</v>
      </c>
      <c r="G43" s="218">
        <f t="shared" si="2"/>
        <v>0.11816033448463915</v>
      </c>
      <c r="H43" s="217">
        <v>15</v>
      </c>
      <c r="I43" s="218">
        <f t="shared" si="3"/>
        <v>0.15345268542199489</v>
      </c>
      <c r="J43" s="217">
        <v>17</v>
      </c>
      <c r="K43" s="218">
        <f t="shared" si="4"/>
        <v>0.16192018287455948</v>
      </c>
      <c r="L43" s="217">
        <v>7</v>
      </c>
      <c r="M43" s="218">
        <f t="shared" si="5"/>
        <v>7.8713594962329922E-2</v>
      </c>
      <c r="N43" s="217">
        <v>8</v>
      </c>
      <c r="O43" s="218">
        <f t="shared" si="6"/>
        <v>8.4736786357377386E-2</v>
      </c>
      <c r="P43" s="217">
        <v>7</v>
      </c>
      <c r="Q43" s="218">
        <f t="shared" si="7"/>
        <v>6.8452963035399966E-2</v>
      </c>
      <c r="R43" s="217">
        <v>4</v>
      </c>
      <c r="S43" s="218">
        <f t="shared" si="8"/>
        <v>4.1549807832138776E-2</v>
      </c>
      <c r="T43" s="217">
        <v>0</v>
      </c>
      <c r="U43" s="218" t="s">
        <v>612</v>
      </c>
    </row>
    <row r="44" spans="1:21" ht="16.5">
      <c r="A44" s="27" t="s">
        <v>594</v>
      </c>
      <c r="B44" s="217">
        <v>2</v>
      </c>
      <c r="C44" s="218">
        <f t="shared" si="0"/>
        <v>1.6614055490945343E-2</v>
      </c>
      <c r="D44" s="217">
        <v>2</v>
      </c>
      <c r="E44" s="218">
        <f t="shared" si="1"/>
        <v>1.8233202662047591E-2</v>
      </c>
      <c r="F44" s="217">
        <v>1</v>
      </c>
      <c r="G44" s="218">
        <f t="shared" si="2"/>
        <v>9.0892564988183967E-3</v>
      </c>
      <c r="H44" s="217">
        <v>2</v>
      </c>
      <c r="I44" s="218">
        <f t="shared" si="3"/>
        <v>2.0460358056265986E-2</v>
      </c>
      <c r="J44" s="217">
        <v>1</v>
      </c>
      <c r="K44" s="218">
        <f t="shared" si="4"/>
        <v>9.5247166396799695E-3</v>
      </c>
      <c r="L44" s="217" t="s">
        <v>77</v>
      </c>
      <c r="M44" s="218" t="str">
        <f t="shared" si="5"/>
        <v>-</v>
      </c>
      <c r="N44" s="217">
        <v>1</v>
      </c>
      <c r="O44" s="218">
        <f t="shared" si="6"/>
        <v>1.0592098294672173E-2</v>
      </c>
      <c r="P44" s="217">
        <v>3</v>
      </c>
      <c r="Q44" s="218">
        <f t="shared" si="7"/>
        <v>2.9336984158028552E-2</v>
      </c>
      <c r="R44" s="217">
        <v>4</v>
      </c>
      <c r="S44" s="218">
        <f t="shared" si="8"/>
        <v>4.1549807832138776E-2</v>
      </c>
      <c r="T44" s="217">
        <v>0</v>
      </c>
      <c r="U44" s="218" t="s">
        <v>612</v>
      </c>
    </row>
    <row r="45" spans="1:21" ht="16.5">
      <c r="A45" s="27" t="s">
        <v>601</v>
      </c>
      <c r="B45" s="217" t="s">
        <v>77</v>
      </c>
      <c r="C45" s="218" t="str">
        <f t="shared" si="0"/>
        <v>-</v>
      </c>
      <c r="D45" s="217" t="s">
        <v>77</v>
      </c>
      <c r="E45" s="218" t="str">
        <f t="shared" si="1"/>
        <v>-</v>
      </c>
      <c r="F45" s="217">
        <v>1</v>
      </c>
      <c r="G45" s="218">
        <f t="shared" si="2"/>
        <v>9.0892564988183967E-3</v>
      </c>
      <c r="H45" s="217">
        <v>1</v>
      </c>
      <c r="I45" s="218">
        <f t="shared" si="3"/>
        <v>1.0230179028132993E-2</v>
      </c>
      <c r="J45" s="217" t="s">
        <v>77</v>
      </c>
      <c r="K45" s="218" t="str">
        <f t="shared" si="4"/>
        <v>-</v>
      </c>
      <c r="L45" s="217" t="s">
        <v>77</v>
      </c>
      <c r="M45" s="218" t="str">
        <f t="shared" si="5"/>
        <v>-</v>
      </c>
      <c r="N45" s="217" t="s">
        <v>77</v>
      </c>
      <c r="O45" s="218" t="str">
        <f t="shared" si="6"/>
        <v>-</v>
      </c>
      <c r="P45" s="217">
        <v>1</v>
      </c>
      <c r="Q45" s="218">
        <f t="shared" si="7"/>
        <v>9.7789947193428518E-3</v>
      </c>
      <c r="R45" s="217">
        <v>1</v>
      </c>
      <c r="S45" s="218">
        <f t="shared" si="8"/>
        <v>1.0387451958034694E-2</v>
      </c>
      <c r="T45" s="217">
        <v>0</v>
      </c>
      <c r="U45" s="218" t="s">
        <v>612</v>
      </c>
    </row>
    <row r="46" spans="1:21" ht="16.5">
      <c r="A46" s="27" t="s">
        <v>602</v>
      </c>
      <c r="B46" s="217" t="s">
        <v>77</v>
      </c>
      <c r="C46" s="218" t="str">
        <f t="shared" si="0"/>
        <v>-</v>
      </c>
      <c r="D46" s="217" t="s">
        <v>77</v>
      </c>
      <c r="E46" s="218" t="str">
        <f t="shared" si="1"/>
        <v>-</v>
      </c>
      <c r="F46" s="217" t="s">
        <v>77</v>
      </c>
      <c r="G46" s="218" t="str">
        <f t="shared" si="2"/>
        <v>-</v>
      </c>
      <c r="H46" s="217">
        <v>3</v>
      </c>
      <c r="I46" s="218">
        <f t="shared" si="3"/>
        <v>3.0690537084398974E-2</v>
      </c>
      <c r="J46" s="217" t="s">
        <v>77</v>
      </c>
      <c r="K46" s="218" t="str">
        <f t="shared" si="4"/>
        <v>-</v>
      </c>
      <c r="L46" s="217">
        <v>1</v>
      </c>
      <c r="M46" s="218">
        <f t="shared" si="5"/>
        <v>1.1244799280332845E-2</v>
      </c>
      <c r="N46" s="217" t="s">
        <v>77</v>
      </c>
      <c r="O46" s="218" t="str">
        <f t="shared" si="6"/>
        <v>-</v>
      </c>
      <c r="P46" s="217">
        <v>3</v>
      </c>
      <c r="Q46" s="218">
        <f t="shared" si="7"/>
        <v>2.9336984158028552E-2</v>
      </c>
      <c r="R46" s="217">
        <v>1</v>
      </c>
      <c r="S46" s="218">
        <f t="shared" si="8"/>
        <v>1.0387451958034694E-2</v>
      </c>
      <c r="T46" s="217">
        <v>0</v>
      </c>
      <c r="U46" s="218" t="s">
        <v>612</v>
      </c>
    </row>
    <row r="47" spans="1:21" ht="18" customHeight="1">
      <c r="A47" s="27" t="s">
        <v>605</v>
      </c>
      <c r="B47" s="217" t="s">
        <v>77</v>
      </c>
      <c r="C47" s="218" t="str">
        <f t="shared" si="0"/>
        <v>-</v>
      </c>
      <c r="D47" s="217" t="s">
        <v>77</v>
      </c>
      <c r="E47" s="218" t="str">
        <f t="shared" si="1"/>
        <v>-</v>
      </c>
      <c r="F47" s="217">
        <v>2</v>
      </c>
      <c r="G47" s="218">
        <f t="shared" si="2"/>
        <v>1.8178512997636793E-2</v>
      </c>
      <c r="H47" s="217" t="s">
        <v>77</v>
      </c>
      <c r="I47" s="218" t="str">
        <f t="shared" si="3"/>
        <v>-</v>
      </c>
      <c r="J47" s="217">
        <v>1</v>
      </c>
      <c r="K47" s="218">
        <f t="shared" si="4"/>
        <v>9.5247166396799695E-3</v>
      </c>
      <c r="L47" s="217" t="s">
        <v>77</v>
      </c>
      <c r="M47" s="218" t="str">
        <f t="shared" si="5"/>
        <v>-</v>
      </c>
      <c r="N47" s="217" t="s">
        <v>77</v>
      </c>
      <c r="O47" s="218" t="str">
        <f t="shared" si="6"/>
        <v>-</v>
      </c>
      <c r="P47" s="217" t="s">
        <v>77</v>
      </c>
      <c r="Q47" s="218" t="str">
        <f t="shared" si="7"/>
        <v>-</v>
      </c>
      <c r="R47" s="217" t="s">
        <v>77</v>
      </c>
      <c r="S47" s="218" t="str">
        <f t="shared" si="8"/>
        <v>-</v>
      </c>
      <c r="T47" s="217" t="s">
        <v>77</v>
      </c>
      <c r="U47" s="218" t="str">
        <f>IF(ISERROR(T47/T$4*100)=TRUE,"-",T47/T$4*100)</f>
        <v>-</v>
      </c>
    </row>
    <row r="48" spans="1:21" ht="18" customHeight="1">
      <c r="A48" s="221" t="s">
        <v>606</v>
      </c>
      <c r="B48" s="217" t="s">
        <v>77</v>
      </c>
      <c r="C48" s="218" t="str">
        <f t="shared" si="0"/>
        <v>-</v>
      </c>
      <c r="D48" s="217" t="s">
        <v>77</v>
      </c>
      <c r="E48" s="218" t="str">
        <f t="shared" si="1"/>
        <v>-</v>
      </c>
      <c r="F48" s="217" t="s">
        <v>77</v>
      </c>
      <c r="G48" s="218" t="str">
        <f t="shared" si="2"/>
        <v>-</v>
      </c>
      <c r="H48" s="217" t="s">
        <v>77</v>
      </c>
      <c r="I48" s="218" t="str">
        <f t="shared" si="3"/>
        <v>-</v>
      </c>
      <c r="J48" s="217">
        <v>3</v>
      </c>
      <c r="K48" s="218">
        <f t="shared" si="4"/>
        <v>2.857414991903991E-2</v>
      </c>
      <c r="L48" s="217" t="s">
        <v>77</v>
      </c>
      <c r="M48" s="218" t="str">
        <f t="shared" si="5"/>
        <v>-</v>
      </c>
      <c r="N48" s="217" t="s">
        <v>77</v>
      </c>
      <c r="O48" s="218" t="str">
        <f t="shared" si="6"/>
        <v>-</v>
      </c>
      <c r="P48" s="217" t="s">
        <v>77</v>
      </c>
      <c r="Q48" s="218" t="str">
        <f t="shared" si="7"/>
        <v>-</v>
      </c>
      <c r="R48" s="217" t="s">
        <v>77</v>
      </c>
      <c r="S48" s="218" t="str">
        <f t="shared" si="8"/>
        <v>-</v>
      </c>
      <c r="T48" s="217" t="s">
        <v>77</v>
      </c>
      <c r="U48" s="218" t="str">
        <f>IF(ISERROR(T48/T$4*100)=TRUE,"-",T48/T$4*100)</f>
        <v>-</v>
      </c>
    </row>
    <row r="49" spans="1:21" ht="18" customHeight="1">
      <c r="A49" s="220" t="s">
        <v>607</v>
      </c>
      <c r="B49" s="217" t="s">
        <v>77</v>
      </c>
      <c r="C49" s="218" t="str">
        <f t="shared" si="0"/>
        <v>-</v>
      </c>
      <c r="D49" s="217">
        <v>1</v>
      </c>
      <c r="E49" s="218">
        <f t="shared" si="1"/>
        <v>9.1166013310237954E-3</v>
      </c>
      <c r="F49" s="217">
        <v>1</v>
      </c>
      <c r="G49" s="218">
        <f t="shared" si="2"/>
        <v>9.0892564988183967E-3</v>
      </c>
      <c r="H49" s="217">
        <v>1</v>
      </c>
      <c r="I49" s="218">
        <f t="shared" si="3"/>
        <v>1.0230179028132993E-2</v>
      </c>
      <c r="J49" s="217" t="s">
        <v>77</v>
      </c>
      <c r="K49" s="218" t="str">
        <f t="shared" si="4"/>
        <v>-</v>
      </c>
      <c r="L49" s="217">
        <v>1</v>
      </c>
      <c r="M49" s="218">
        <f t="shared" si="5"/>
        <v>1.1244799280332845E-2</v>
      </c>
      <c r="N49" s="217">
        <v>1</v>
      </c>
      <c r="O49" s="218">
        <f t="shared" si="6"/>
        <v>1.0592098294672173E-2</v>
      </c>
      <c r="P49" s="217" t="s">
        <v>77</v>
      </c>
      <c r="Q49" s="218" t="str">
        <f t="shared" si="7"/>
        <v>-</v>
      </c>
      <c r="R49" s="217" t="s">
        <v>77</v>
      </c>
      <c r="S49" s="218" t="str">
        <f t="shared" si="8"/>
        <v>-</v>
      </c>
      <c r="T49" s="217" t="s">
        <v>77</v>
      </c>
      <c r="U49" s="218" t="str">
        <f>IF(ISERROR(T49/T$4*100)=TRUE,"-",T49/T$4*100)</f>
        <v>-</v>
      </c>
    </row>
    <row r="50" spans="1:21" ht="18" customHeight="1">
      <c r="A50" s="220" t="s">
        <v>608</v>
      </c>
      <c r="B50" s="217" t="s">
        <v>77</v>
      </c>
      <c r="C50" s="218" t="str">
        <f t="shared" si="0"/>
        <v>-</v>
      </c>
      <c r="D50" s="217">
        <v>1</v>
      </c>
      <c r="E50" s="218">
        <f t="shared" si="1"/>
        <v>9.1166013310237954E-3</v>
      </c>
      <c r="F50" s="217">
        <v>1</v>
      </c>
      <c r="G50" s="218">
        <f t="shared" si="2"/>
        <v>9.0892564988183967E-3</v>
      </c>
      <c r="H50" s="217">
        <v>3</v>
      </c>
      <c r="I50" s="218">
        <f t="shared" si="3"/>
        <v>3.0690537084398974E-2</v>
      </c>
      <c r="J50" s="217" t="s">
        <v>77</v>
      </c>
      <c r="K50" s="218" t="str">
        <f t="shared" si="4"/>
        <v>-</v>
      </c>
      <c r="L50" s="217" t="s">
        <v>77</v>
      </c>
      <c r="M50" s="218" t="str">
        <f t="shared" si="5"/>
        <v>-</v>
      </c>
      <c r="N50" s="217">
        <v>5</v>
      </c>
      <c r="O50" s="218">
        <f t="shared" si="6"/>
        <v>5.2960491473360877E-2</v>
      </c>
      <c r="P50" s="217" t="s">
        <v>77</v>
      </c>
      <c r="Q50" s="218" t="str">
        <f t="shared" si="7"/>
        <v>-</v>
      </c>
      <c r="R50" s="217" t="s">
        <v>77</v>
      </c>
      <c r="S50" s="218" t="str">
        <f t="shared" si="8"/>
        <v>-</v>
      </c>
      <c r="T50" s="217" t="s">
        <v>77</v>
      </c>
      <c r="U50" s="218" t="str">
        <f>IF(ISERROR(T50/T$4*100)=TRUE,"-",T50/T$4*100)</f>
        <v>-</v>
      </c>
    </row>
    <row r="51" spans="1:21" ht="16.5">
      <c r="A51" s="222" t="s">
        <v>430</v>
      </c>
      <c r="B51" s="223">
        <v>1131</v>
      </c>
      <c r="C51" s="224">
        <f t="shared" ref="C51" si="10">IF(ISERROR(B51/B$4*100)=TRUE,"-",B51/B$4*100)</f>
        <v>9.3952483801295887</v>
      </c>
      <c r="D51" s="223">
        <v>924</v>
      </c>
      <c r="E51" s="224">
        <f t="shared" ref="E51" si="11">IF(ISERROR(D51/D$4*100)=TRUE,"-",D51/D$4*100)</f>
        <v>8.4237396298659846</v>
      </c>
      <c r="F51" s="223">
        <v>1009</v>
      </c>
      <c r="G51" s="224">
        <f t="shared" ref="G51" si="12">IF(ISERROR(F51/F$4*100)=TRUE,"-",F51/F$4*100)</f>
        <v>9.1710598073077616</v>
      </c>
      <c r="H51" s="223">
        <v>702</v>
      </c>
      <c r="I51" s="224">
        <f t="shared" ref="I51" si="13">IF(ISERROR(H51/H$4*100)=TRUE,"-",H51/H$4*100)</f>
        <v>7.1815856777493607</v>
      </c>
      <c r="J51" s="223">
        <v>853</v>
      </c>
      <c r="K51" s="224">
        <f t="shared" ref="K51" si="14">IF(ISERROR(J51/J$4*100)=TRUE,"-",J51/J$4*100)</f>
        <v>8.1245832936470137</v>
      </c>
      <c r="L51" s="223">
        <v>559</v>
      </c>
      <c r="M51" s="224">
        <f t="shared" ref="M51" si="15">IF(ISERROR(L51/L$4*100)=TRUE,"-",L51/L$4*100)</f>
        <v>6.2858427977060609</v>
      </c>
      <c r="N51" s="223">
        <v>687</v>
      </c>
      <c r="O51" s="224">
        <f t="shared" ref="O51" si="16">IF(ISERROR(N51/N$4*100)=TRUE,"-",N51/N$4*100)</f>
        <v>7.2767715284397836</v>
      </c>
      <c r="P51" s="223">
        <v>829</v>
      </c>
      <c r="Q51" s="224">
        <f t="shared" ref="Q51" si="17">IF(ISERROR(P51/P$4*100)=TRUE,"-",P51/P$4*100)</f>
        <v>8.1067866223352247</v>
      </c>
      <c r="R51" s="223">
        <v>692</v>
      </c>
      <c r="S51" s="224">
        <f t="shared" ref="S51" si="18">IF(ISERROR(R51/R$4*100)=TRUE,"-",R51/R$4*100)</f>
        <v>7.1881167549600082</v>
      </c>
      <c r="T51" s="223">
        <v>876</v>
      </c>
      <c r="U51" s="224">
        <f t="shared" ref="U51" si="19">IF(ISERROR(T51/T$4*100)=TRUE,"-",T51/T$4*100)</f>
        <v>9.1689344777056725</v>
      </c>
    </row>
    <row r="52" spans="1:21" ht="16.5">
      <c r="A52" s="379" t="s">
        <v>610</v>
      </c>
      <c r="B52" s="379"/>
      <c r="C52" s="379"/>
      <c r="D52" s="379"/>
    </row>
    <row r="53" spans="1:21" ht="16.5">
      <c r="A53" s="379" t="s">
        <v>611</v>
      </c>
      <c r="B53" s="379"/>
      <c r="C53" s="379"/>
      <c r="D53" s="379"/>
    </row>
  </sheetData>
  <sortState ref="A5:U50">
    <sortCondition descending="1" ref="T5:T50"/>
  </sortState>
  <mergeCells count="13">
    <mergeCell ref="T2:U2"/>
    <mergeCell ref="A52:D52"/>
    <mergeCell ref="A53:D53"/>
    <mergeCell ref="A1:U1"/>
    <mergeCell ref="R2:S2"/>
    <mergeCell ref="P2:Q2"/>
    <mergeCell ref="N2:O2"/>
    <mergeCell ref="L2:M2"/>
    <mergeCell ref="J2:K2"/>
    <mergeCell ref="H2:I2"/>
    <mergeCell ref="F2:G2"/>
    <mergeCell ref="D2:E2"/>
    <mergeCell ref="B2:C2"/>
  </mergeCells>
  <phoneticPr fontId="2" type="noConversion"/>
  <hyperlinks>
    <hyperlink ref="V1" location="本篇表次!A1" display="回本篇表次"/>
  </hyperlinks>
  <printOptions horizontalCentered="1" verticalCentered="1"/>
  <pageMargins left="0.74803149606299213" right="0.74803149606299213" top="0.74803149606299213" bottom="0.74803149606299213" header="0.51181102362204722" footer="0.51181102362204722"/>
  <pageSetup paperSize="224" scale="49" orientation="landscape" r:id="rId1"/>
  <headerFooter differentOddEven="1" scaleWithDoc="0">
    <oddHeader>&amp;L&amp;"Times New Roman,標準"&amp;8 &amp;K01+000107&amp;"標楷體,標準"年犯罪狀況及其分析</oddHeader>
    <evenHeader>&amp;R&amp;"標楷體,標準"&amp;8&amp;K01+000第三篇　少年事件之狀況與處理</evenHead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R17"/>
  <sheetViews>
    <sheetView showGridLines="0" workbookViewId="0">
      <selection sqref="A1:U1"/>
    </sheetView>
  </sheetViews>
  <sheetFormatPr defaultColWidth="8.375" defaultRowHeight="16.5"/>
  <cols>
    <col min="1" max="1" width="14.375" customWidth="1"/>
    <col min="2" max="2" width="4.375" customWidth="1"/>
    <col min="18" max="18" width="12.625" bestFit="1" customWidth="1"/>
  </cols>
  <sheetData>
    <row r="1" spans="1:18" ht="30" customHeight="1">
      <c r="A1" s="541" t="s">
        <v>667</v>
      </c>
      <c r="B1" s="541"/>
      <c r="C1" s="541"/>
      <c r="D1" s="541"/>
      <c r="E1" s="541"/>
      <c r="F1" s="541"/>
      <c r="G1" s="541"/>
      <c r="H1" s="541"/>
      <c r="I1" s="541"/>
      <c r="J1" s="541"/>
      <c r="K1" s="541"/>
      <c r="L1" s="541"/>
      <c r="M1" s="541"/>
      <c r="N1" s="541"/>
      <c r="O1" s="542"/>
      <c r="P1" s="542"/>
      <c r="Q1" s="542"/>
      <c r="R1" s="348" t="s">
        <v>644</v>
      </c>
    </row>
    <row r="2" spans="1:18" ht="30" customHeight="1">
      <c r="A2" s="543"/>
      <c r="B2" s="543"/>
      <c r="C2" s="544" t="s">
        <v>461</v>
      </c>
      <c r="D2" s="544"/>
      <c r="E2" s="544"/>
      <c r="F2" s="544" t="s">
        <v>445</v>
      </c>
      <c r="G2" s="544"/>
      <c r="H2" s="544"/>
      <c r="I2" s="544" t="s">
        <v>214</v>
      </c>
      <c r="J2" s="544"/>
      <c r="K2" s="544"/>
      <c r="L2" s="544" t="s">
        <v>460</v>
      </c>
      <c r="M2" s="544"/>
      <c r="N2" s="544"/>
      <c r="O2" s="544" t="s">
        <v>58</v>
      </c>
      <c r="P2" s="544"/>
      <c r="Q2" s="544"/>
    </row>
    <row r="3" spans="1:18" ht="30" customHeight="1">
      <c r="A3" s="537"/>
      <c r="B3" s="537"/>
      <c r="C3" s="169" t="s">
        <v>475</v>
      </c>
      <c r="D3" s="169" t="s">
        <v>474</v>
      </c>
      <c r="E3" s="169" t="s">
        <v>473</v>
      </c>
      <c r="F3" s="169" t="s">
        <v>475</v>
      </c>
      <c r="G3" s="169" t="s">
        <v>474</v>
      </c>
      <c r="H3" s="169" t="s">
        <v>473</v>
      </c>
      <c r="I3" s="169" t="s">
        <v>475</v>
      </c>
      <c r="J3" s="169" t="s">
        <v>474</v>
      </c>
      <c r="K3" s="169" t="s">
        <v>473</v>
      </c>
      <c r="L3" s="169" t="s">
        <v>475</v>
      </c>
      <c r="M3" s="169" t="s">
        <v>474</v>
      </c>
      <c r="N3" s="169" t="s">
        <v>473</v>
      </c>
      <c r="O3" s="169" t="s">
        <v>475</v>
      </c>
      <c r="P3" s="169" t="s">
        <v>474</v>
      </c>
      <c r="Q3" s="169" t="s">
        <v>473</v>
      </c>
    </row>
    <row r="4" spans="1:18" ht="35.1" customHeight="1">
      <c r="A4" s="537" t="s">
        <v>520</v>
      </c>
      <c r="B4" s="182" t="s">
        <v>463</v>
      </c>
      <c r="C4" s="181">
        <f t="shared" ref="C4:Q4" si="0">SUM(C12,C14,C8,C6,C10,)</f>
        <v>475</v>
      </c>
      <c r="D4" s="181">
        <f t="shared" si="0"/>
        <v>420</v>
      </c>
      <c r="E4" s="181">
        <f t="shared" si="0"/>
        <v>55</v>
      </c>
      <c r="F4" s="181">
        <f t="shared" si="0"/>
        <v>473</v>
      </c>
      <c r="G4" s="181">
        <f t="shared" si="0"/>
        <v>402</v>
      </c>
      <c r="H4" s="181">
        <f t="shared" si="0"/>
        <v>71</v>
      </c>
      <c r="I4" s="181">
        <f t="shared" si="0"/>
        <v>475</v>
      </c>
      <c r="J4" s="181">
        <f t="shared" si="0"/>
        <v>430</v>
      </c>
      <c r="K4" s="181">
        <f t="shared" si="0"/>
        <v>45</v>
      </c>
      <c r="L4" s="185">
        <f t="shared" si="0"/>
        <v>362</v>
      </c>
      <c r="M4" s="185">
        <f t="shared" si="0"/>
        <v>331</v>
      </c>
      <c r="N4" s="185">
        <f t="shared" si="0"/>
        <v>31</v>
      </c>
      <c r="O4" s="185">
        <f t="shared" si="0"/>
        <v>405</v>
      </c>
      <c r="P4" s="185">
        <f t="shared" si="0"/>
        <v>378</v>
      </c>
      <c r="Q4" s="185">
        <f t="shared" si="0"/>
        <v>27</v>
      </c>
    </row>
    <row r="5" spans="1:18" ht="35.1" customHeight="1">
      <c r="A5" s="537" t="s">
        <v>519</v>
      </c>
      <c r="B5" s="184" t="s">
        <v>121</v>
      </c>
      <c r="C5" s="183">
        <f t="shared" ref="C5:Q5" si="1">SUM(C13,C15,C9,C7,C11,)</f>
        <v>99.999999999999986</v>
      </c>
      <c r="D5" s="183">
        <f t="shared" si="1"/>
        <v>100</v>
      </c>
      <c r="E5" s="183">
        <f t="shared" si="1"/>
        <v>100</v>
      </c>
      <c r="F5" s="183">
        <f t="shared" si="1"/>
        <v>100</v>
      </c>
      <c r="G5" s="183">
        <f t="shared" si="1"/>
        <v>100</v>
      </c>
      <c r="H5" s="183">
        <f t="shared" si="1"/>
        <v>100</v>
      </c>
      <c r="I5" s="183">
        <f t="shared" si="1"/>
        <v>100</v>
      </c>
      <c r="J5" s="183">
        <f t="shared" si="1"/>
        <v>100</v>
      </c>
      <c r="K5" s="183">
        <f t="shared" si="1"/>
        <v>100</v>
      </c>
      <c r="L5" s="183">
        <f t="shared" si="1"/>
        <v>100</v>
      </c>
      <c r="M5" s="183">
        <f t="shared" si="1"/>
        <v>100</v>
      </c>
      <c r="N5" s="183">
        <f t="shared" si="1"/>
        <v>100</v>
      </c>
      <c r="O5" s="183">
        <f t="shared" si="1"/>
        <v>100</v>
      </c>
      <c r="P5" s="183">
        <f t="shared" si="1"/>
        <v>100</v>
      </c>
      <c r="Q5" s="183">
        <f t="shared" si="1"/>
        <v>100</v>
      </c>
    </row>
    <row r="6" spans="1:18" ht="35.1" customHeight="1">
      <c r="A6" s="537" t="s">
        <v>518</v>
      </c>
      <c r="B6" s="182" t="s">
        <v>463</v>
      </c>
      <c r="C6" s="181">
        <v>223</v>
      </c>
      <c r="D6" s="181">
        <v>197</v>
      </c>
      <c r="E6" s="181">
        <v>26</v>
      </c>
      <c r="F6" s="181">
        <v>225</v>
      </c>
      <c r="G6" s="181">
        <v>182</v>
      </c>
      <c r="H6" s="181">
        <v>43</v>
      </c>
      <c r="I6" s="181">
        <v>263</v>
      </c>
      <c r="J6" s="181">
        <v>241</v>
      </c>
      <c r="K6" s="181">
        <v>22</v>
      </c>
      <c r="L6" s="181">
        <v>203</v>
      </c>
      <c r="M6" s="181">
        <v>186</v>
      </c>
      <c r="N6" s="181">
        <v>17</v>
      </c>
      <c r="O6" s="181">
        <v>210</v>
      </c>
      <c r="P6" s="181">
        <v>198</v>
      </c>
      <c r="Q6" s="181">
        <v>12</v>
      </c>
    </row>
    <row r="7" spans="1:18" ht="35.1" customHeight="1">
      <c r="A7" s="537"/>
      <c r="B7" s="184" t="s">
        <v>121</v>
      </c>
      <c r="C7" s="183">
        <f t="shared" ref="C7:Q7" si="2">IFERROR(C6/C$4*100,"-")</f>
        <v>46.94736842105263</v>
      </c>
      <c r="D7" s="183">
        <f t="shared" si="2"/>
        <v>46.904761904761905</v>
      </c>
      <c r="E7" s="183">
        <f t="shared" si="2"/>
        <v>47.272727272727273</v>
      </c>
      <c r="F7" s="183">
        <f t="shared" si="2"/>
        <v>47.568710359408037</v>
      </c>
      <c r="G7" s="183">
        <f t="shared" si="2"/>
        <v>45.273631840796021</v>
      </c>
      <c r="H7" s="183">
        <f t="shared" si="2"/>
        <v>60.563380281690137</v>
      </c>
      <c r="I7" s="183">
        <f t="shared" si="2"/>
        <v>55.368421052631575</v>
      </c>
      <c r="J7" s="183">
        <f t="shared" si="2"/>
        <v>56.04651162790698</v>
      </c>
      <c r="K7" s="183">
        <f t="shared" si="2"/>
        <v>48.888888888888886</v>
      </c>
      <c r="L7" s="183">
        <f t="shared" si="2"/>
        <v>56.077348066298342</v>
      </c>
      <c r="M7" s="183">
        <f t="shared" si="2"/>
        <v>56.19335347432024</v>
      </c>
      <c r="N7" s="183">
        <f t="shared" si="2"/>
        <v>54.838709677419352</v>
      </c>
      <c r="O7" s="183">
        <f t="shared" si="2"/>
        <v>51.851851851851848</v>
      </c>
      <c r="P7" s="183">
        <f t="shared" si="2"/>
        <v>52.380952380952387</v>
      </c>
      <c r="Q7" s="183">
        <f t="shared" si="2"/>
        <v>44.444444444444443</v>
      </c>
    </row>
    <row r="8" spans="1:18" ht="35.1" customHeight="1">
      <c r="A8" s="537" t="s">
        <v>517</v>
      </c>
      <c r="B8" s="182" t="s">
        <v>463</v>
      </c>
      <c r="C8" s="181">
        <v>248</v>
      </c>
      <c r="D8" s="181">
        <v>219</v>
      </c>
      <c r="E8" s="181">
        <v>29</v>
      </c>
      <c r="F8" s="181">
        <v>222</v>
      </c>
      <c r="G8" s="181">
        <v>195</v>
      </c>
      <c r="H8" s="181">
        <v>27</v>
      </c>
      <c r="I8" s="181">
        <v>199</v>
      </c>
      <c r="J8" s="181">
        <v>176</v>
      </c>
      <c r="K8" s="181">
        <v>23</v>
      </c>
      <c r="L8" s="181">
        <v>144</v>
      </c>
      <c r="M8" s="181">
        <v>132</v>
      </c>
      <c r="N8" s="181">
        <v>12</v>
      </c>
      <c r="O8" s="181">
        <v>171</v>
      </c>
      <c r="P8" s="181">
        <v>160</v>
      </c>
      <c r="Q8" s="181">
        <v>11</v>
      </c>
    </row>
    <row r="9" spans="1:18" ht="35.1" customHeight="1">
      <c r="A9" s="537"/>
      <c r="B9" s="184" t="s">
        <v>121</v>
      </c>
      <c r="C9" s="183">
        <f t="shared" ref="C9:Q9" si="3">IFERROR(C8/C$4*100,"-")</f>
        <v>52.210526315789473</v>
      </c>
      <c r="D9" s="183">
        <f t="shared" si="3"/>
        <v>52.142857142857146</v>
      </c>
      <c r="E9" s="183">
        <f t="shared" si="3"/>
        <v>52.72727272727272</v>
      </c>
      <c r="F9" s="183">
        <f t="shared" si="3"/>
        <v>46.934460887949257</v>
      </c>
      <c r="G9" s="183">
        <f t="shared" si="3"/>
        <v>48.507462686567166</v>
      </c>
      <c r="H9" s="183">
        <f t="shared" si="3"/>
        <v>38.028169014084504</v>
      </c>
      <c r="I9" s="183">
        <f t="shared" si="3"/>
        <v>41.89473684210526</v>
      </c>
      <c r="J9" s="183">
        <f t="shared" si="3"/>
        <v>40.930232558139537</v>
      </c>
      <c r="K9" s="183">
        <f t="shared" si="3"/>
        <v>51.111111111111107</v>
      </c>
      <c r="L9" s="183">
        <f t="shared" si="3"/>
        <v>39.77900552486188</v>
      </c>
      <c r="M9" s="183">
        <f t="shared" si="3"/>
        <v>39.879154078549853</v>
      </c>
      <c r="N9" s="183">
        <f t="shared" si="3"/>
        <v>38.70967741935484</v>
      </c>
      <c r="O9" s="183">
        <f t="shared" si="3"/>
        <v>42.222222222222221</v>
      </c>
      <c r="P9" s="183">
        <f t="shared" si="3"/>
        <v>42.328042328042329</v>
      </c>
      <c r="Q9" s="183">
        <f t="shared" si="3"/>
        <v>40.74074074074074</v>
      </c>
    </row>
    <row r="10" spans="1:18" ht="35.1" customHeight="1">
      <c r="A10" s="537" t="s">
        <v>516</v>
      </c>
      <c r="B10" s="182" t="s">
        <v>463</v>
      </c>
      <c r="C10" s="181">
        <v>2</v>
      </c>
      <c r="D10" s="181">
        <v>2</v>
      </c>
      <c r="E10" s="181" t="s">
        <v>77</v>
      </c>
      <c r="F10" s="181">
        <v>25</v>
      </c>
      <c r="G10" s="181">
        <v>24</v>
      </c>
      <c r="H10" s="181">
        <v>1</v>
      </c>
      <c r="I10" s="181">
        <v>13</v>
      </c>
      <c r="J10" s="181">
        <v>13</v>
      </c>
      <c r="K10" s="181" t="s">
        <v>77</v>
      </c>
      <c r="L10" s="181">
        <v>13</v>
      </c>
      <c r="M10" s="181">
        <v>11</v>
      </c>
      <c r="N10" s="181">
        <v>2</v>
      </c>
      <c r="O10" s="181">
        <v>24</v>
      </c>
      <c r="P10" s="181">
        <v>20</v>
      </c>
      <c r="Q10" s="181">
        <v>4</v>
      </c>
    </row>
    <row r="11" spans="1:18" ht="35.1" customHeight="1">
      <c r="A11" s="537"/>
      <c r="B11" s="184" t="s">
        <v>121</v>
      </c>
      <c r="C11" s="183">
        <f t="shared" ref="C11:Q11" si="4">IFERROR(C10/C$4*100,"-")</f>
        <v>0.42105263157894735</v>
      </c>
      <c r="D11" s="183">
        <f t="shared" si="4"/>
        <v>0.47619047619047622</v>
      </c>
      <c r="E11" s="183" t="str">
        <f t="shared" si="4"/>
        <v>-</v>
      </c>
      <c r="F11" s="183">
        <f t="shared" si="4"/>
        <v>5.2854122621564485</v>
      </c>
      <c r="G11" s="183">
        <f t="shared" si="4"/>
        <v>5.9701492537313428</v>
      </c>
      <c r="H11" s="183">
        <f t="shared" si="4"/>
        <v>1.4084507042253522</v>
      </c>
      <c r="I11" s="183">
        <f t="shared" si="4"/>
        <v>2.736842105263158</v>
      </c>
      <c r="J11" s="183">
        <f t="shared" si="4"/>
        <v>3.0232558139534884</v>
      </c>
      <c r="K11" s="183" t="str">
        <f t="shared" si="4"/>
        <v>-</v>
      </c>
      <c r="L11" s="183">
        <f t="shared" si="4"/>
        <v>3.5911602209944751</v>
      </c>
      <c r="M11" s="183">
        <f t="shared" si="4"/>
        <v>3.3232628398791544</v>
      </c>
      <c r="N11" s="183">
        <f t="shared" si="4"/>
        <v>6.4516129032258061</v>
      </c>
      <c r="O11" s="183">
        <f t="shared" si="4"/>
        <v>5.9259259259259265</v>
      </c>
      <c r="P11" s="183">
        <f t="shared" si="4"/>
        <v>5.2910052910052912</v>
      </c>
      <c r="Q11" s="183">
        <f t="shared" si="4"/>
        <v>14.814814814814813</v>
      </c>
    </row>
    <row r="12" spans="1:18" ht="35.1" customHeight="1">
      <c r="A12" s="537" t="s">
        <v>515</v>
      </c>
      <c r="B12" s="182" t="s">
        <v>463</v>
      </c>
      <c r="C12" s="181">
        <v>2</v>
      </c>
      <c r="D12" s="181">
        <v>2</v>
      </c>
      <c r="E12" s="181" t="s">
        <v>77</v>
      </c>
      <c r="F12" s="181" t="s">
        <v>280</v>
      </c>
      <c r="G12" s="181" t="s">
        <v>280</v>
      </c>
      <c r="H12" s="181" t="s">
        <v>77</v>
      </c>
      <c r="I12" s="181" t="s">
        <v>77</v>
      </c>
      <c r="J12" s="181" t="s">
        <v>77</v>
      </c>
      <c r="K12" s="181" t="s">
        <v>77</v>
      </c>
      <c r="L12" s="181">
        <v>2</v>
      </c>
      <c r="M12" s="181">
        <v>2</v>
      </c>
      <c r="N12" s="181" t="s">
        <v>77</v>
      </c>
      <c r="O12" s="181" t="s">
        <v>77</v>
      </c>
      <c r="P12" s="181" t="s">
        <v>77</v>
      </c>
      <c r="Q12" s="181" t="s">
        <v>77</v>
      </c>
    </row>
    <row r="13" spans="1:18" ht="35.1" customHeight="1">
      <c r="A13" s="537"/>
      <c r="B13" s="184" t="s">
        <v>121</v>
      </c>
      <c r="C13" s="183">
        <f t="shared" ref="C13:N13" si="5">IFERROR(C12/C$4*100,"-")</f>
        <v>0.42105263157894735</v>
      </c>
      <c r="D13" s="183">
        <f t="shared" si="5"/>
        <v>0.47619047619047622</v>
      </c>
      <c r="E13" s="183" t="str">
        <f t="shared" si="5"/>
        <v>-</v>
      </c>
      <c r="F13" s="183" t="str">
        <f t="shared" si="5"/>
        <v>-</v>
      </c>
      <c r="G13" s="183" t="str">
        <f t="shared" si="5"/>
        <v>-</v>
      </c>
      <c r="H13" s="183" t="str">
        <f t="shared" si="5"/>
        <v>-</v>
      </c>
      <c r="I13" s="183" t="str">
        <f t="shared" si="5"/>
        <v>-</v>
      </c>
      <c r="J13" s="183" t="str">
        <f t="shared" si="5"/>
        <v>-</v>
      </c>
      <c r="K13" s="183" t="str">
        <f t="shared" si="5"/>
        <v>-</v>
      </c>
      <c r="L13" s="183">
        <f t="shared" si="5"/>
        <v>0.55248618784530379</v>
      </c>
      <c r="M13" s="183">
        <f t="shared" si="5"/>
        <v>0.60422960725075525</v>
      </c>
      <c r="N13" s="183" t="str">
        <f t="shared" si="5"/>
        <v>-</v>
      </c>
      <c r="O13" s="183" t="str">
        <f t="shared" ref="O13:Q13" si="6">IFERROR(O12/O$4*100,"-")</f>
        <v>-</v>
      </c>
      <c r="P13" s="183" t="str">
        <f t="shared" si="6"/>
        <v>-</v>
      </c>
      <c r="Q13" s="183" t="str">
        <f t="shared" si="6"/>
        <v>-</v>
      </c>
    </row>
    <row r="14" spans="1:18" ht="35.1" customHeight="1">
      <c r="A14" s="537" t="s">
        <v>514</v>
      </c>
      <c r="B14" s="182" t="s">
        <v>463</v>
      </c>
      <c r="C14" s="181" t="s">
        <v>280</v>
      </c>
      <c r="D14" s="181" t="s">
        <v>280</v>
      </c>
      <c r="E14" s="181" t="s">
        <v>77</v>
      </c>
      <c r="F14" s="181">
        <v>1</v>
      </c>
      <c r="G14" s="181">
        <v>1</v>
      </c>
      <c r="H14" s="181" t="s">
        <v>77</v>
      </c>
      <c r="I14" s="181" t="s">
        <v>280</v>
      </c>
      <c r="J14" s="181" t="s">
        <v>280</v>
      </c>
      <c r="K14" s="181" t="s">
        <v>77</v>
      </c>
      <c r="L14" s="181" t="s">
        <v>77</v>
      </c>
      <c r="M14" s="181" t="s">
        <v>77</v>
      </c>
      <c r="N14" s="181" t="s">
        <v>77</v>
      </c>
      <c r="O14" s="181" t="s">
        <v>77</v>
      </c>
      <c r="P14" s="181" t="s">
        <v>77</v>
      </c>
      <c r="Q14" s="181" t="s">
        <v>77</v>
      </c>
    </row>
    <row r="15" spans="1:18" ht="35.1" customHeight="1">
      <c r="A15" s="538"/>
      <c r="B15" s="180" t="s">
        <v>121</v>
      </c>
      <c r="C15" s="179" t="str">
        <f t="shared" ref="C15:N15" si="7">IFERROR(C14/C$4*100,"-")</f>
        <v>-</v>
      </c>
      <c r="D15" s="179" t="str">
        <f t="shared" si="7"/>
        <v>-</v>
      </c>
      <c r="E15" s="179" t="str">
        <f t="shared" si="7"/>
        <v>-</v>
      </c>
      <c r="F15" s="179">
        <f t="shared" si="7"/>
        <v>0.21141649048625794</v>
      </c>
      <c r="G15" s="179">
        <f t="shared" si="7"/>
        <v>0.24875621890547264</v>
      </c>
      <c r="H15" s="179" t="str">
        <f t="shared" si="7"/>
        <v>-</v>
      </c>
      <c r="I15" s="179" t="str">
        <f t="shared" si="7"/>
        <v>-</v>
      </c>
      <c r="J15" s="179" t="str">
        <f t="shared" si="7"/>
        <v>-</v>
      </c>
      <c r="K15" s="179" t="str">
        <f t="shared" si="7"/>
        <v>-</v>
      </c>
      <c r="L15" s="179" t="str">
        <f t="shared" si="7"/>
        <v>-</v>
      </c>
      <c r="M15" s="179" t="str">
        <f t="shared" si="7"/>
        <v>-</v>
      </c>
      <c r="N15" s="179" t="str">
        <f t="shared" si="7"/>
        <v>-</v>
      </c>
      <c r="O15" s="179" t="str">
        <f t="shared" ref="O15:Q15" si="8">IFERROR(O14/O$4*100,"-")</f>
        <v>-</v>
      </c>
      <c r="P15" s="179" t="str">
        <f t="shared" si="8"/>
        <v>-</v>
      </c>
      <c r="Q15" s="179" t="str">
        <f t="shared" si="8"/>
        <v>-</v>
      </c>
    </row>
    <row r="16" spans="1:18" ht="14.1" customHeight="1">
      <c r="A16" s="197" t="s">
        <v>450</v>
      </c>
      <c r="B16" s="186"/>
      <c r="C16" s="196"/>
      <c r="D16" s="196"/>
      <c r="E16" s="196"/>
      <c r="F16" s="196"/>
      <c r="G16" s="196"/>
      <c r="H16" s="196"/>
      <c r="I16" s="196"/>
      <c r="J16" s="196"/>
      <c r="K16" s="196"/>
      <c r="L16" s="196"/>
      <c r="M16" s="196"/>
      <c r="N16" s="196"/>
      <c r="O16" s="163"/>
      <c r="P16" s="163"/>
      <c r="Q16" s="163"/>
    </row>
    <row r="17" spans="1:17" ht="29.1" customHeight="1">
      <c r="A17" s="553" t="s">
        <v>513</v>
      </c>
      <c r="B17" s="553"/>
      <c r="C17" s="553"/>
      <c r="D17" s="553"/>
      <c r="E17" s="553"/>
      <c r="F17" s="553"/>
      <c r="G17" s="553"/>
      <c r="H17" s="553"/>
      <c r="I17" s="553"/>
      <c r="J17" s="553"/>
      <c r="K17" s="553"/>
      <c r="L17" s="553"/>
      <c r="M17" s="553"/>
      <c r="N17" s="553"/>
      <c r="O17" s="553"/>
      <c r="P17" s="553"/>
      <c r="Q17" s="553"/>
    </row>
  </sheetData>
  <mergeCells count="14">
    <mergeCell ref="A17:Q17"/>
    <mergeCell ref="A4:A5"/>
    <mergeCell ref="A6:A7"/>
    <mergeCell ref="A8:A9"/>
    <mergeCell ref="A10:A11"/>
    <mergeCell ref="A12:A13"/>
    <mergeCell ref="A14:A15"/>
    <mergeCell ref="A1:Q1"/>
    <mergeCell ref="A2:B3"/>
    <mergeCell ref="C2:E2"/>
    <mergeCell ref="F2:H2"/>
    <mergeCell ref="I2:K2"/>
    <mergeCell ref="L2:N2"/>
    <mergeCell ref="O2:Q2"/>
  </mergeCells>
  <phoneticPr fontId="2" type="noConversion"/>
  <hyperlinks>
    <hyperlink ref="R1" location="本篇表次!A1" display="回本篇表次"/>
  </hyperlinks>
  <pageMargins left="0.7" right="0.7" top="0.75" bottom="0.75" header="0.3" footer="0.3"/>
  <pageSetup paperSize="9"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R13"/>
  <sheetViews>
    <sheetView showGridLines="0" workbookViewId="0">
      <selection sqref="A1:U1"/>
    </sheetView>
  </sheetViews>
  <sheetFormatPr defaultColWidth="9.875" defaultRowHeight="16.5"/>
  <cols>
    <col min="1" max="1" width="12.625" customWidth="1"/>
    <col min="2" max="2" width="5.125" customWidth="1"/>
    <col min="18" max="18" width="12.625" bestFit="1" customWidth="1"/>
  </cols>
  <sheetData>
    <row r="1" spans="1:18" ht="30" customHeight="1">
      <c r="A1" s="541" t="s">
        <v>668</v>
      </c>
      <c r="B1" s="541"/>
      <c r="C1" s="541"/>
      <c r="D1" s="541"/>
      <c r="E1" s="541"/>
      <c r="F1" s="541"/>
      <c r="G1" s="541"/>
      <c r="H1" s="541"/>
      <c r="I1" s="541"/>
      <c r="J1" s="541"/>
      <c r="K1" s="541"/>
      <c r="L1" s="541"/>
      <c r="M1" s="541"/>
      <c r="N1" s="541"/>
      <c r="O1" s="542"/>
      <c r="P1" s="542"/>
      <c r="Q1" s="542"/>
      <c r="R1" s="348" t="s">
        <v>644</v>
      </c>
    </row>
    <row r="2" spans="1:18" ht="30" customHeight="1">
      <c r="A2" s="543"/>
      <c r="B2" s="543"/>
      <c r="C2" s="544" t="s">
        <v>503</v>
      </c>
      <c r="D2" s="544"/>
      <c r="E2" s="544"/>
      <c r="F2" s="544" t="s">
        <v>445</v>
      </c>
      <c r="G2" s="544"/>
      <c r="H2" s="544"/>
      <c r="I2" s="544" t="s">
        <v>214</v>
      </c>
      <c r="J2" s="544"/>
      <c r="K2" s="544"/>
      <c r="L2" s="544" t="s">
        <v>460</v>
      </c>
      <c r="M2" s="544"/>
      <c r="N2" s="544"/>
      <c r="O2" s="544" t="s">
        <v>58</v>
      </c>
      <c r="P2" s="544"/>
      <c r="Q2" s="544"/>
    </row>
    <row r="3" spans="1:18" ht="30" customHeight="1">
      <c r="A3" s="537"/>
      <c r="B3" s="537"/>
      <c r="C3" s="169" t="s">
        <v>502</v>
      </c>
      <c r="D3" s="169" t="s">
        <v>501</v>
      </c>
      <c r="E3" s="169" t="s">
        <v>500</v>
      </c>
      <c r="F3" s="169" t="s">
        <v>502</v>
      </c>
      <c r="G3" s="169" t="s">
        <v>501</v>
      </c>
      <c r="H3" s="169" t="s">
        <v>500</v>
      </c>
      <c r="I3" s="169" t="s">
        <v>502</v>
      </c>
      <c r="J3" s="169" t="s">
        <v>501</v>
      </c>
      <c r="K3" s="169" t="s">
        <v>500</v>
      </c>
      <c r="L3" s="169" t="s">
        <v>502</v>
      </c>
      <c r="M3" s="169" t="s">
        <v>501</v>
      </c>
      <c r="N3" s="169" t="s">
        <v>500</v>
      </c>
      <c r="O3" s="169" t="s">
        <v>502</v>
      </c>
      <c r="P3" s="169" t="s">
        <v>501</v>
      </c>
      <c r="Q3" s="169" t="s">
        <v>500</v>
      </c>
    </row>
    <row r="4" spans="1:18" ht="42" customHeight="1">
      <c r="A4" s="537" t="s">
        <v>524</v>
      </c>
      <c r="B4" s="173" t="s">
        <v>491</v>
      </c>
      <c r="C4" s="188">
        <f t="shared" ref="C4:Q4" si="0">SUM(C8,C6,C10)</f>
        <v>475</v>
      </c>
      <c r="D4" s="188">
        <f t="shared" si="0"/>
        <v>420</v>
      </c>
      <c r="E4" s="188">
        <f t="shared" si="0"/>
        <v>55</v>
      </c>
      <c r="F4" s="188">
        <f t="shared" si="0"/>
        <v>473</v>
      </c>
      <c r="G4" s="188">
        <f t="shared" si="0"/>
        <v>402</v>
      </c>
      <c r="H4" s="188">
        <f t="shared" si="0"/>
        <v>71</v>
      </c>
      <c r="I4" s="188">
        <f t="shared" si="0"/>
        <v>475</v>
      </c>
      <c r="J4" s="188">
        <f t="shared" si="0"/>
        <v>430</v>
      </c>
      <c r="K4" s="188">
        <f t="shared" si="0"/>
        <v>45</v>
      </c>
      <c r="L4" s="188">
        <f t="shared" si="0"/>
        <v>362</v>
      </c>
      <c r="M4" s="188">
        <f t="shared" si="0"/>
        <v>331</v>
      </c>
      <c r="N4" s="190">
        <f t="shared" si="0"/>
        <v>31</v>
      </c>
      <c r="O4" s="188">
        <f t="shared" si="0"/>
        <v>405</v>
      </c>
      <c r="P4" s="188">
        <f t="shared" si="0"/>
        <v>378</v>
      </c>
      <c r="Q4" s="190">
        <f t="shared" si="0"/>
        <v>27</v>
      </c>
    </row>
    <row r="5" spans="1:18" ht="42" customHeight="1">
      <c r="A5" s="537"/>
      <c r="B5" s="173" t="s">
        <v>121</v>
      </c>
      <c r="C5" s="189">
        <f t="shared" ref="C5:Q5" si="1">SUM(C9,C7,C11)</f>
        <v>100</v>
      </c>
      <c r="D5" s="189">
        <f t="shared" si="1"/>
        <v>100</v>
      </c>
      <c r="E5" s="189">
        <f t="shared" si="1"/>
        <v>100</v>
      </c>
      <c r="F5" s="189">
        <f t="shared" si="1"/>
        <v>100</v>
      </c>
      <c r="G5" s="189">
        <f t="shared" si="1"/>
        <v>100</v>
      </c>
      <c r="H5" s="189">
        <f t="shared" si="1"/>
        <v>100</v>
      </c>
      <c r="I5" s="189">
        <f t="shared" si="1"/>
        <v>100</v>
      </c>
      <c r="J5" s="189">
        <f t="shared" si="1"/>
        <v>100.00000000000001</v>
      </c>
      <c r="K5" s="189">
        <f t="shared" si="1"/>
        <v>99.999999999999986</v>
      </c>
      <c r="L5" s="189">
        <f t="shared" si="1"/>
        <v>100</v>
      </c>
      <c r="M5" s="189">
        <f t="shared" si="1"/>
        <v>99.999999999999986</v>
      </c>
      <c r="N5" s="189">
        <f t="shared" si="1"/>
        <v>100</v>
      </c>
      <c r="O5" s="189">
        <f t="shared" si="1"/>
        <v>99.999999999999986</v>
      </c>
      <c r="P5" s="189">
        <f t="shared" si="1"/>
        <v>100</v>
      </c>
      <c r="Q5" s="189">
        <f t="shared" si="1"/>
        <v>100</v>
      </c>
    </row>
    <row r="6" spans="1:18" ht="42" customHeight="1">
      <c r="A6" s="537" t="s">
        <v>523</v>
      </c>
      <c r="B6" s="173" t="s">
        <v>491</v>
      </c>
      <c r="C6" s="188">
        <v>399</v>
      </c>
      <c r="D6" s="188">
        <v>360</v>
      </c>
      <c r="E6" s="188">
        <v>39</v>
      </c>
      <c r="F6" s="188">
        <v>376</v>
      </c>
      <c r="G6" s="188">
        <v>322</v>
      </c>
      <c r="H6" s="188">
        <v>54</v>
      </c>
      <c r="I6" s="188">
        <v>368</v>
      </c>
      <c r="J6" s="188">
        <v>338</v>
      </c>
      <c r="K6" s="188">
        <v>30</v>
      </c>
      <c r="L6" s="188">
        <v>278</v>
      </c>
      <c r="M6" s="188">
        <v>262</v>
      </c>
      <c r="N6" s="188">
        <v>16</v>
      </c>
      <c r="O6" s="188">
        <v>309</v>
      </c>
      <c r="P6" s="188">
        <v>290</v>
      </c>
      <c r="Q6" s="188">
        <v>19</v>
      </c>
    </row>
    <row r="7" spans="1:18" ht="42" customHeight="1">
      <c r="A7" s="537"/>
      <c r="B7" s="173" t="s">
        <v>121</v>
      </c>
      <c r="C7" s="189">
        <f t="shared" ref="C7:Q7" si="2">IFERROR(C6/C$4*100,"-")</f>
        <v>84</v>
      </c>
      <c r="D7" s="189">
        <f t="shared" si="2"/>
        <v>85.714285714285708</v>
      </c>
      <c r="E7" s="189">
        <f t="shared" si="2"/>
        <v>70.909090909090907</v>
      </c>
      <c r="F7" s="189">
        <f t="shared" si="2"/>
        <v>79.492600422832979</v>
      </c>
      <c r="G7" s="189">
        <f t="shared" si="2"/>
        <v>80.099502487562191</v>
      </c>
      <c r="H7" s="189">
        <f t="shared" si="2"/>
        <v>76.056338028169009</v>
      </c>
      <c r="I7" s="189">
        <f t="shared" si="2"/>
        <v>77.473684210526315</v>
      </c>
      <c r="J7" s="189">
        <f t="shared" si="2"/>
        <v>78.604651162790702</v>
      </c>
      <c r="K7" s="189">
        <f t="shared" si="2"/>
        <v>66.666666666666657</v>
      </c>
      <c r="L7" s="189">
        <f t="shared" si="2"/>
        <v>76.795580110497241</v>
      </c>
      <c r="M7" s="189">
        <f t="shared" si="2"/>
        <v>79.154078549848933</v>
      </c>
      <c r="N7" s="189">
        <f t="shared" si="2"/>
        <v>51.612903225806448</v>
      </c>
      <c r="O7" s="189">
        <f t="shared" si="2"/>
        <v>76.296296296296291</v>
      </c>
      <c r="P7" s="189">
        <f t="shared" si="2"/>
        <v>76.719576719576722</v>
      </c>
      <c r="Q7" s="189">
        <f t="shared" si="2"/>
        <v>70.370370370370367</v>
      </c>
    </row>
    <row r="8" spans="1:18" ht="42" customHeight="1">
      <c r="A8" s="537" t="s">
        <v>522</v>
      </c>
      <c r="B8" s="173" t="s">
        <v>491</v>
      </c>
      <c r="C8" s="188">
        <v>72</v>
      </c>
      <c r="D8" s="188">
        <v>58</v>
      </c>
      <c r="E8" s="188">
        <v>14</v>
      </c>
      <c r="F8" s="188">
        <v>90</v>
      </c>
      <c r="G8" s="188">
        <v>73</v>
      </c>
      <c r="H8" s="188">
        <v>17</v>
      </c>
      <c r="I8" s="188">
        <v>102</v>
      </c>
      <c r="J8" s="188">
        <v>87</v>
      </c>
      <c r="K8" s="188">
        <v>15</v>
      </c>
      <c r="L8" s="188">
        <v>78</v>
      </c>
      <c r="M8" s="188">
        <v>63</v>
      </c>
      <c r="N8" s="188">
        <v>15</v>
      </c>
      <c r="O8" s="188">
        <v>88</v>
      </c>
      <c r="P8" s="188">
        <v>80</v>
      </c>
      <c r="Q8" s="188">
        <v>8</v>
      </c>
    </row>
    <row r="9" spans="1:18" ht="42" customHeight="1">
      <c r="A9" s="537"/>
      <c r="B9" s="173" t="s">
        <v>121</v>
      </c>
      <c r="C9" s="189">
        <f t="shared" ref="C9:Q9" si="3">IFERROR(C8/C$4*100,"-")</f>
        <v>15.157894736842106</v>
      </c>
      <c r="D9" s="189">
        <f t="shared" si="3"/>
        <v>13.80952380952381</v>
      </c>
      <c r="E9" s="189">
        <f t="shared" si="3"/>
        <v>25.454545454545453</v>
      </c>
      <c r="F9" s="189">
        <f t="shared" si="3"/>
        <v>19.027484143763214</v>
      </c>
      <c r="G9" s="189">
        <f t="shared" si="3"/>
        <v>18.159203980099502</v>
      </c>
      <c r="H9" s="189">
        <f t="shared" si="3"/>
        <v>23.943661971830984</v>
      </c>
      <c r="I9" s="189">
        <f t="shared" si="3"/>
        <v>21.473684210526319</v>
      </c>
      <c r="J9" s="189">
        <f t="shared" si="3"/>
        <v>20.232558139534884</v>
      </c>
      <c r="K9" s="189">
        <f t="shared" si="3"/>
        <v>33.333333333333329</v>
      </c>
      <c r="L9" s="189">
        <f t="shared" si="3"/>
        <v>21.546961325966851</v>
      </c>
      <c r="M9" s="189">
        <f t="shared" si="3"/>
        <v>19.033232628398792</v>
      </c>
      <c r="N9" s="189">
        <f t="shared" si="3"/>
        <v>48.387096774193552</v>
      </c>
      <c r="O9" s="189">
        <f t="shared" si="3"/>
        <v>21.728395061728396</v>
      </c>
      <c r="P9" s="189">
        <f t="shared" si="3"/>
        <v>21.164021164021165</v>
      </c>
      <c r="Q9" s="189">
        <f t="shared" si="3"/>
        <v>29.629629629629626</v>
      </c>
    </row>
    <row r="10" spans="1:18" ht="42" customHeight="1">
      <c r="A10" s="537" t="s">
        <v>521</v>
      </c>
      <c r="B10" s="173" t="s">
        <v>491</v>
      </c>
      <c r="C10" s="188">
        <v>4</v>
      </c>
      <c r="D10" s="188">
        <v>2</v>
      </c>
      <c r="E10" s="188">
        <v>2</v>
      </c>
      <c r="F10" s="188">
        <v>7</v>
      </c>
      <c r="G10" s="188">
        <v>7</v>
      </c>
      <c r="H10" s="188" t="s">
        <v>77</v>
      </c>
      <c r="I10" s="188">
        <v>5</v>
      </c>
      <c r="J10" s="188">
        <v>5</v>
      </c>
      <c r="K10" s="188" t="s">
        <v>77</v>
      </c>
      <c r="L10" s="188">
        <v>6</v>
      </c>
      <c r="M10" s="188">
        <v>6</v>
      </c>
      <c r="N10" s="188" t="s">
        <v>77</v>
      </c>
      <c r="O10" s="188">
        <v>8</v>
      </c>
      <c r="P10" s="188">
        <v>8</v>
      </c>
      <c r="Q10" s="188">
        <v>0</v>
      </c>
    </row>
    <row r="11" spans="1:18" ht="42" customHeight="1">
      <c r="A11" s="538"/>
      <c r="B11" s="169" t="s">
        <v>121</v>
      </c>
      <c r="C11" s="187">
        <f t="shared" ref="C11:Q11" si="4">IFERROR(C10/C$4*100,"-")</f>
        <v>0.84210526315789469</v>
      </c>
      <c r="D11" s="187">
        <f t="shared" si="4"/>
        <v>0.47619047619047622</v>
      </c>
      <c r="E11" s="187">
        <f t="shared" si="4"/>
        <v>3.6363636363636362</v>
      </c>
      <c r="F11" s="187">
        <f t="shared" si="4"/>
        <v>1.4799154334038054</v>
      </c>
      <c r="G11" s="187">
        <f t="shared" si="4"/>
        <v>1.7412935323383085</v>
      </c>
      <c r="H11" s="187" t="str">
        <f t="shared" si="4"/>
        <v>-</v>
      </c>
      <c r="I11" s="187">
        <f t="shared" si="4"/>
        <v>1.0526315789473684</v>
      </c>
      <c r="J11" s="187">
        <f t="shared" si="4"/>
        <v>1.1627906976744187</v>
      </c>
      <c r="K11" s="187" t="str">
        <f t="shared" si="4"/>
        <v>-</v>
      </c>
      <c r="L11" s="187">
        <f t="shared" si="4"/>
        <v>1.6574585635359116</v>
      </c>
      <c r="M11" s="187">
        <f t="shared" si="4"/>
        <v>1.8126888217522661</v>
      </c>
      <c r="N11" s="187" t="str">
        <f t="shared" si="4"/>
        <v>-</v>
      </c>
      <c r="O11" s="187">
        <f t="shared" si="4"/>
        <v>1.9753086419753085</v>
      </c>
      <c r="P11" s="187">
        <f t="shared" si="4"/>
        <v>2.1164021164021163</v>
      </c>
      <c r="Q11" s="187">
        <f t="shared" si="4"/>
        <v>0</v>
      </c>
    </row>
    <row r="12" spans="1:18" ht="14.1" customHeight="1">
      <c r="A12" s="163" t="s">
        <v>462</v>
      </c>
      <c r="B12" s="198"/>
      <c r="C12" s="196"/>
      <c r="D12" s="196"/>
      <c r="E12" s="196"/>
      <c r="F12" s="163"/>
      <c r="G12" s="163"/>
      <c r="H12" s="163"/>
      <c r="I12" s="163"/>
      <c r="J12" s="163"/>
      <c r="K12" s="163"/>
      <c r="L12" s="163"/>
      <c r="M12" s="163"/>
      <c r="N12" s="163"/>
      <c r="O12" s="163"/>
      <c r="P12" s="163"/>
      <c r="Q12" s="163"/>
    </row>
    <row r="13" spans="1:18" ht="32.1" customHeight="1">
      <c r="A13" s="553" t="s">
        <v>513</v>
      </c>
      <c r="B13" s="554"/>
      <c r="C13" s="554"/>
      <c r="D13" s="554"/>
      <c r="E13" s="554"/>
      <c r="F13" s="554"/>
      <c r="G13" s="554"/>
      <c r="H13" s="554"/>
      <c r="I13" s="554"/>
      <c r="J13" s="554"/>
      <c r="K13" s="554"/>
      <c r="L13" s="554"/>
      <c r="M13" s="554"/>
      <c r="N13" s="554"/>
      <c r="O13" s="554"/>
      <c r="P13" s="554"/>
      <c r="Q13" s="554"/>
    </row>
  </sheetData>
  <mergeCells count="12">
    <mergeCell ref="A10:A11"/>
    <mergeCell ref="A13:Q13"/>
    <mergeCell ref="A1:Q1"/>
    <mergeCell ref="A2:B3"/>
    <mergeCell ref="C2:E2"/>
    <mergeCell ref="F2:H2"/>
    <mergeCell ref="I2:K2"/>
    <mergeCell ref="L2:N2"/>
    <mergeCell ref="O2:Q2"/>
    <mergeCell ref="A4:A5"/>
    <mergeCell ref="A6:A7"/>
    <mergeCell ref="A8:A9"/>
  </mergeCells>
  <phoneticPr fontId="2" type="noConversion"/>
  <hyperlinks>
    <hyperlink ref="R1" location="本篇表次!A1" display="回本篇表次"/>
  </hyperlinks>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Q20"/>
  <sheetViews>
    <sheetView showGridLines="0" workbookViewId="0">
      <pane xSplit="1" topLeftCell="B1" activePane="topRight" state="frozen"/>
      <selection sqref="A1:U1"/>
      <selection pane="topRight" sqref="A1:U1"/>
    </sheetView>
  </sheetViews>
  <sheetFormatPr defaultColWidth="7.625" defaultRowHeight="16.5"/>
  <cols>
    <col min="1" max="1" width="26.875" style="283" customWidth="1"/>
    <col min="2" max="16" width="7.625" style="283"/>
    <col min="17" max="17" width="12.625" style="283" bestFit="1" customWidth="1"/>
    <col min="18" max="16384" width="7.625" style="283"/>
  </cols>
  <sheetData>
    <row r="1" spans="1:17" ht="30" customHeight="1">
      <c r="A1" s="556" t="s">
        <v>669</v>
      </c>
      <c r="B1" s="556"/>
      <c r="C1" s="556"/>
      <c r="D1" s="556"/>
      <c r="E1" s="556"/>
      <c r="F1" s="556"/>
      <c r="G1" s="556"/>
      <c r="H1" s="556"/>
      <c r="I1" s="556"/>
      <c r="J1" s="556"/>
      <c r="K1" s="556"/>
      <c r="L1" s="556"/>
      <c r="M1" s="556"/>
      <c r="N1" s="556"/>
      <c r="O1" s="556"/>
      <c r="P1" s="556"/>
      <c r="Q1" s="348" t="s">
        <v>644</v>
      </c>
    </row>
    <row r="2" spans="1:17" ht="30" customHeight="1">
      <c r="A2" s="530"/>
      <c r="B2" s="527" t="s">
        <v>503</v>
      </c>
      <c r="C2" s="527"/>
      <c r="D2" s="527"/>
      <c r="E2" s="527" t="s">
        <v>445</v>
      </c>
      <c r="F2" s="527"/>
      <c r="G2" s="527"/>
      <c r="H2" s="527" t="s">
        <v>214</v>
      </c>
      <c r="I2" s="527"/>
      <c r="J2" s="527"/>
      <c r="K2" s="527" t="s">
        <v>460</v>
      </c>
      <c r="L2" s="527"/>
      <c r="M2" s="527"/>
      <c r="N2" s="527" t="s">
        <v>58</v>
      </c>
      <c r="O2" s="527"/>
      <c r="P2" s="527"/>
    </row>
    <row r="3" spans="1:17" ht="30" customHeight="1">
      <c r="A3" s="531"/>
      <c r="B3" s="309" t="s">
        <v>502</v>
      </c>
      <c r="C3" s="309" t="s">
        <v>501</v>
      </c>
      <c r="D3" s="309" t="s">
        <v>500</v>
      </c>
      <c r="E3" s="309" t="s">
        <v>502</v>
      </c>
      <c r="F3" s="309" t="s">
        <v>501</v>
      </c>
      <c r="G3" s="309" t="s">
        <v>500</v>
      </c>
      <c r="H3" s="309" t="s">
        <v>502</v>
      </c>
      <c r="I3" s="309" t="s">
        <v>501</v>
      </c>
      <c r="J3" s="309" t="s">
        <v>500</v>
      </c>
      <c r="K3" s="309" t="s">
        <v>502</v>
      </c>
      <c r="L3" s="309" t="s">
        <v>501</v>
      </c>
      <c r="M3" s="309" t="s">
        <v>500</v>
      </c>
      <c r="N3" s="309" t="s">
        <v>502</v>
      </c>
      <c r="O3" s="309" t="s">
        <v>501</v>
      </c>
      <c r="P3" s="309" t="s">
        <v>500</v>
      </c>
    </row>
    <row r="4" spans="1:17" ht="24" customHeight="1">
      <c r="A4" s="342" t="s">
        <v>537</v>
      </c>
      <c r="B4" s="313">
        <v>475</v>
      </c>
      <c r="C4" s="313">
        <v>420</v>
      </c>
      <c r="D4" s="313">
        <v>55</v>
      </c>
      <c r="E4" s="313">
        <v>473</v>
      </c>
      <c r="F4" s="313">
        <v>402</v>
      </c>
      <c r="G4" s="313">
        <v>71</v>
      </c>
      <c r="H4" s="313">
        <v>475</v>
      </c>
      <c r="I4" s="313">
        <v>430</v>
      </c>
      <c r="J4" s="313">
        <v>45</v>
      </c>
      <c r="K4" s="313">
        <v>362</v>
      </c>
      <c r="L4" s="313">
        <v>331</v>
      </c>
      <c r="M4" s="314">
        <v>31</v>
      </c>
      <c r="N4" s="314">
        <v>405</v>
      </c>
      <c r="O4" s="314">
        <v>378</v>
      </c>
      <c r="P4" s="314">
        <v>27</v>
      </c>
    </row>
    <row r="5" spans="1:17" ht="24" customHeight="1">
      <c r="A5" s="342" t="s">
        <v>536</v>
      </c>
      <c r="B5" s="313">
        <v>52</v>
      </c>
      <c r="C5" s="313">
        <v>51</v>
      </c>
      <c r="D5" s="313">
        <v>1</v>
      </c>
      <c r="E5" s="313">
        <v>84</v>
      </c>
      <c r="F5" s="313">
        <v>78</v>
      </c>
      <c r="G5" s="313">
        <v>6</v>
      </c>
      <c r="H5" s="313">
        <v>84</v>
      </c>
      <c r="I5" s="313">
        <v>81</v>
      </c>
      <c r="J5" s="313">
        <v>3</v>
      </c>
      <c r="K5" s="313">
        <v>80</v>
      </c>
      <c r="L5" s="313">
        <v>80</v>
      </c>
      <c r="M5" s="313">
        <v>0</v>
      </c>
      <c r="N5" s="313">
        <v>83</v>
      </c>
      <c r="O5" s="313">
        <v>80</v>
      </c>
      <c r="P5" s="313">
        <v>3</v>
      </c>
    </row>
    <row r="6" spans="1:17" ht="24" customHeight="1">
      <c r="A6" s="342" t="s">
        <v>535</v>
      </c>
      <c r="B6" s="313">
        <v>59</v>
      </c>
      <c r="C6" s="313">
        <v>53</v>
      </c>
      <c r="D6" s="313">
        <v>6</v>
      </c>
      <c r="E6" s="313">
        <v>65</v>
      </c>
      <c r="F6" s="313">
        <v>60</v>
      </c>
      <c r="G6" s="313">
        <v>5</v>
      </c>
      <c r="H6" s="313">
        <v>84</v>
      </c>
      <c r="I6" s="313">
        <v>77</v>
      </c>
      <c r="J6" s="313">
        <v>7</v>
      </c>
      <c r="K6" s="313">
        <v>57</v>
      </c>
      <c r="L6" s="313">
        <v>52</v>
      </c>
      <c r="M6" s="313">
        <v>5</v>
      </c>
      <c r="N6" s="313">
        <v>79</v>
      </c>
      <c r="O6" s="313">
        <v>73</v>
      </c>
      <c r="P6" s="313">
        <v>6</v>
      </c>
    </row>
    <row r="7" spans="1:17" ht="24" customHeight="1">
      <c r="A7" s="342" t="s">
        <v>533</v>
      </c>
      <c r="B7" s="313">
        <v>86</v>
      </c>
      <c r="C7" s="313">
        <v>82</v>
      </c>
      <c r="D7" s="313">
        <v>4</v>
      </c>
      <c r="E7" s="313">
        <v>92</v>
      </c>
      <c r="F7" s="313">
        <v>72</v>
      </c>
      <c r="G7" s="313">
        <v>20</v>
      </c>
      <c r="H7" s="313">
        <v>76</v>
      </c>
      <c r="I7" s="313">
        <v>69</v>
      </c>
      <c r="J7" s="313">
        <v>7</v>
      </c>
      <c r="K7" s="313">
        <v>49</v>
      </c>
      <c r="L7" s="313">
        <v>42</v>
      </c>
      <c r="M7" s="313">
        <v>7</v>
      </c>
      <c r="N7" s="313">
        <v>54</v>
      </c>
      <c r="O7" s="313">
        <v>47</v>
      </c>
      <c r="P7" s="313">
        <v>7</v>
      </c>
    </row>
    <row r="8" spans="1:17" ht="24" customHeight="1">
      <c r="A8" s="342" t="s">
        <v>534</v>
      </c>
      <c r="B8" s="313">
        <v>121</v>
      </c>
      <c r="C8" s="313">
        <v>92</v>
      </c>
      <c r="D8" s="313">
        <v>29</v>
      </c>
      <c r="E8" s="313">
        <v>88</v>
      </c>
      <c r="F8" s="313">
        <v>61</v>
      </c>
      <c r="G8" s="313">
        <v>27</v>
      </c>
      <c r="H8" s="313">
        <v>79</v>
      </c>
      <c r="I8" s="313">
        <v>66</v>
      </c>
      <c r="J8" s="313">
        <v>13</v>
      </c>
      <c r="K8" s="313">
        <v>50</v>
      </c>
      <c r="L8" s="313">
        <v>42</v>
      </c>
      <c r="M8" s="313">
        <v>8</v>
      </c>
      <c r="N8" s="313">
        <v>35</v>
      </c>
      <c r="O8" s="313">
        <v>30</v>
      </c>
      <c r="P8" s="313">
        <v>5</v>
      </c>
    </row>
    <row r="9" spans="1:17" ht="24" customHeight="1">
      <c r="A9" s="342" t="s">
        <v>531</v>
      </c>
      <c r="B9" s="313">
        <v>13</v>
      </c>
      <c r="C9" s="313">
        <v>9</v>
      </c>
      <c r="D9" s="313">
        <v>4</v>
      </c>
      <c r="E9" s="313">
        <v>8</v>
      </c>
      <c r="F9" s="313">
        <v>6</v>
      </c>
      <c r="G9" s="313">
        <v>2</v>
      </c>
      <c r="H9" s="313">
        <v>14</v>
      </c>
      <c r="I9" s="313">
        <v>12</v>
      </c>
      <c r="J9" s="313">
        <v>2</v>
      </c>
      <c r="K9" s="313">
        <v>9</v>
      </c>
      <c r="L9" s="313">
        <v>6</v>
      </c>
      <c r="M9" s="313">
        <v>3</v>
      </c>
      <c r="N9" s="313">
        <v>18</v>
      </c>
      <c r="O9" s="313">
        <v>17</v>
      </c>
      <c r="P9" s="313">
        <v>1</v>
      </c>
    </row>
    <row r="10" spans="1:17" ht="24" customHeight="1">
      <c r="A10" s="342" t="s">
        <v>227</v>
      </c>
      <c r="B10" s="313">
        <v>33</v>
      </c>
      <c r="C10" s="313">
        <v>30</v>
      </c>
      <c r="D10" s="313">
        <v>3</v>
      </c>
      <c r="E10" s="313">
        <v>37</v>
      </c>
      <c r="F10" s="313">
        <v>36</v>
      </c>
      <c r="G10" s="313">
        <v>1</v>
      </c>
      <c r="H10" s="313">
        <v>31</v>
      </c>
      <c r="I10" s="313">
        <v>30</v>
      </c>
      <c r="J10" s="313">
        <v>1</v>
      </c>
      <c r="K10" s="313">
        <v>23</v>
      </c>
      <c r="L10" s="313">
        <v>22</v>
      </c>
      <c r="M10" s="313">
        <v>1</v>
      </c>
      <c r="N10" s="313">
        <v>15</v>
      </c>
      <c r="O10" s="313">
        <v>13</v>
      </c>
      <c r="P10" s="313">
        <v>2</v>
      </c>
    </row>
    <row r="11" spans="1:17" ht="24" customHeight="1">
      <c r="A11" s="342" t="s">
        <v>532</v>
      </c>
      <c r="B11" s="313">
        <v>5</v>
      </c>
      <c r="C11" s="313">
        <v>5</v>
      </c>
      <c r="D11" s="313">
        <v>0</v>
      </c>
      <c r="E11" s="313">
        <v>12</v>
      </c>
      <c r="F11" s="313">
        <v>11</v>
      </c>
      <c r="G11" s="313">
        <v>1</v>
      </c>
      <c r="H11" s="313">
        <v>11</v>
      </c>
      <c r="I11" s="313">
        <v>11</v>
      </c>
      <c r="J11" s="313">
        <v>0</v>
      </c>
      <c r="K11" s="313">
        <v>11</v>
      </c>
      <c r="L11" s="313">
        <v>10</v>
      </c>
      <c r="M11" s="313">
        <v>1</v>
      </c>
      <c r="N11" s="313">
        <v>8</v>
      </c>
      <c r="O11" s="313">
        <v>7</v>
      </c>
      <c r="P11" s="313">
        <v>1</v>
      </c>
    </row>
    <row r="12" spans="1:17" ht="24" customHeight="1">
      <c r="A12" s="342" t="s">
        <v>530</v>
      </c>
      <c r="B12" s="313">
        <v>5</v>
      </c>
      <c r="C12" s="313">
        <v>5</v>
      </c>
      <c r="D12" s="313">
        <v>0</v>
      </c>
      <c r="E12" s="313">
        <v>4</v>
      </c>
      <c r="F12" s="313">
        <v>4</v>
      </c>
      <c r="G12" s="313">
        <v>0</v>
      </c>
      <c r="H12" s="313">
        <v>6</v>
      </c>
      <c r="I12" s="313">
        <v>6</v>
      </c>
      <c r="J12" s="313">
        <v>0</v>
      </c>
      <c r="K12" s="313">
        <v>6</v>
      </c>
      <c r="L12" s="313">
        <v>6</v>
      </c>
      <c r="M12" s="313">
        <v>0</v>
      </c>
      <c r="N12" s="313">
        <v>7</v>
      </c>
      <c r="O12" s="313">
        <v>7</v>
      </c>
      <c r="P12" s="313">
        <v>0</v>
      </c>
    </row>
    <row r="13" spans="1:17" ht="24" customHeight="1">
      <c r="A13" s="342" t="s">
        <v>529</v>
      </c>
      <c r="B13" s="313">
        <v>6</v>
      </c>
      <c r="C13" s="313">
        <v>5</v>
      </c>
      <c r="D13" s="313">
        <v>1</v>
      </c>
      <c r="E13" s="313">
        <v>2</v>
      </c>
      <c r="F13" s="313">
        <v>2</v>
      </c>
      <c r="G13" s="313">
        <v>0</v>
      </c>
      <c r="H13" s="313">
        <v>3</v>
      </c>
      <c r="I13" s="313">
        <v>3</v>
      </c>
      <c r="J13" s="313">
        <v>0</v>
      </c>
      <c r="K13" s="313">
        <v>3</v>
      </c>
      <c r="L13" s="313">
        <v>3</v>
      </c>
      <c r="M13" s="313">
        <v>0</v>
      </c>
      <c r="N13" s="313">
        <v>2</v>
      </c>
      <c r="O13" s="313">
        <v>2</v>
      </c>
      <c r="P13" s="313">
        <v>0</v>
      </c>
    </row>
    <row r="14" spans="1:17" ht="24" customHeight="1">
      <c r="A14" s="342" t="s">
        <v>528</v>
      </c>
      <c r="B14" s="313">
        <v>5</v>
      </c>
      <c r="C14" s="313">
        <v>5</v>
      </c>
      <c r="D14" s="313">
        <v>0</v>
      </c>
      <c r="E14" s="313">
        <v>7</v>
      </c>
      <c r="F14" s="313">
        <v>7</v>
      </c>
      <c r="G14" s="313">
        <v>0</v>
      </c>
      <c r="H14" s="313">
        <v>6</v>
      </c>
      <c r="I14" s="313">
        <v>6</v>
      </c>
      <c r="J14" s="313">
        <v>0</v>
      </c>
      <c r="K14" s="313">
        <v>3</v>
      </c>
      <c r="L14" s="313">
        <v>3</v>
      </c>
      <c r="M14" s="313">
        <v>0</v>
      </c>
      <c r="N14" s="313" t="s">
        <v>280</v>
      </c>
      <c r="O14" s="313" t="s">
        <v>280</v>
      </c>
      <c r="P14" s="313">
        <v>0</v>
      </c>
    </row>
    <row r="15" spans="1:17" ht="24" customHeight="1">
      <c r="A15" s="342" t="s">
        <v>527</v>
      </c>
      <c r="B15" s="313">
        <v>0</v>
      </c>
      <c r="C15" s="313">
        <v>0</v>
      </c>
      <c r="D15" s="313">
        <v>0</v>
      </c>
      <c r="E15" s="313">
        <v>1</v>
      </c>
      <c r="F15" s="313">
        <v>1</v>
      </c>
      <c r="G15" s="313">
        <v>0</v>
      </c>
      <c r="H15" s="313">
        <v>2</v>
      </c>
      <c r="I15" s="313">
        <v>1</v>
      </c>
      <c r="J15" s="313">
        <v>1</v>
      </c>
      <c r="K15" s="313">
        <v>0</v>
      </c>
      <c r="L15" s="313">
        <v>0</v>
      </c>
      <c r="M15" s="313">
        <v>0</v>
      </c>
      <c r="N15" s="313">
        <v>0</v>
      </c>
      <c r="O15" s="313">
        <v>0</v>
      </c>
      <c r="P15" s="313">
        <v>0</v>
      </c>
    </row>
    <row r="16" spans="1:17" ht="24" customHeight="1">
      <c r="A16" s="342" t="s">
        <v>526</v>
      </c>
      <c r="B16" s="313">
        <v>53</v>
      </c>
      <c r="C16" s="313">
        <v>51</v>
      </c>
      <c r="D16" s="313">
        <v>2</v>
      </c>
      <c r="E16" s="313">
        <v>40</v>
      </c>
      <c r="F16" s="313">
        <v>35</v>
      </c>
      <c r="G16" s="313">
        <v>5</v>
      </c>
      <c r="H16" s="313">
        <v>52</v>
      </c>
      <c r="I16" s="313">
        <v>45</v>
      </c>
      <c r="J16" s="313">
        <v>7</v>
      </c>
      <c r="K16" s="313">
        <v>54</v>
      </c>
      <c r="L16" s="313">
        <v>49</v>
      </c>
      <c r="M16" s="313">
        <v>5</v>
      </c>
      <c r="N16" s="313">
        <v>80</v>
      </c>
      <c r="O16" s="313">
        <v>79</v>
      </c>
      <c r="P16" s="313">
        <v>1</v>
      </c>
    </row>
    <row r="17" spans="1:16" ht="24" customHeight="1">
      <c r="A17" s="343" t="s">
        <v>492</v>
      </c>
      <c r="B17" s="344">
        <v>37</v>
      </c>
      <c r="C17" s="344">
        <v>32</v>
      </c>
      <c r="D17" s="344">
        <v>5</v>
      </c>
      <c r="E17" s="344">
        <v>33</v>
      </c>
      <c r="F17" s="344">
        <v>29</v>
      </c>
      <c r="G17" s="344">
        <v>4</v>
      </c>
      <c r="H17" s="344">
        <v>27</v>
      </c>
      <c r="I17" s="344">
        <v>23</v>
      </c>
      <c r="J17" s="344">
        <v>4</v>
      </c>
      <c r="K17" s="344">
        <v>17</v>
      </c>
      <c r="L17" s="344">
        <v>16</v>
      </c>
      <c r="M17" s="344">
        <v>1</v>
      </c>
      <c r="N17" s="344">
        <v>24</v>
      </c>
      <c r="O17" s="344">
        <v>23</v>
      </c>
      <c r="P17" s="344">
        <v>1</v>
      </c>
    </row>
    <row r="18" spans="1:16" ht="14.1" customHeight="1">
      <c r="A18" s="322" t="s">
        <v>462</v>
      </c>
      <c r="B18" s="323"/>
      <c r="C18" s="323"/>
      <c r="D18" s="323"/>
      <c r="E18" s="322"/>
      <c r="F18" s="322"/>
      <c r="G18" s="322"/>
      <c r="H18" s="325"/>
      <c r="I18" s="325"/>
      <c r="J18" s="325"/>
      <c r="K18" s="322"/>
      <c r="L18" s="322"/>
      <c r="M18" s="322"/>
      <c r="N18" s="322"/>
      <c r="O18" s="322"/>
      <c r="P18" s="322"/>
    </row>
    <row r="19" spans="1:16" ht="45.95" customHeight="1">
      <c r="A19" s="555" t="s">
        <v>525</v>
      </c>
      <c r="B19" s="555"/>
      <c r="C19" s="555"/>
      <c r="D19" s="555"/>
      <c r="E19" s="555"/>
      <c r="F19" s="555"/>
      <c r="G19" s="555"/>
      <c r="H19" s="555"/>
      <c r="I19" s="555"/>
      <c r="J19" s="555"/>
      <c r="K19" s="555"/>
      <c r="L19" s="555"/>
      <c r="M19" s="555"/>
      <c r="N19" s="555"/>
      <c r="O19" s="555"/>
      <c r="P19" s="555"/>
    </row>
    <row r="20" spans="1:16">
      <c r="A20" s="326"/>
      <c r="B20" s="326"/>
      <c r="C20" s="326"/>
      <c r="D20" s="326"/>
      <c r="E20" s="326"/>
      <c r="F20" s="326"/>
      <c r="G20" s="326"/>
      <c r="H20" s="326"/>
      <c r="I20" s="326"/>
      <c r="J20" s="326"/>
      <c r="K20" s="326"/>
      <c r="L20" s="326"/>
      <c r="M20" s="326"/>
      <c r="N20" s="326"/>
      <c r="O20" s="326"/>
      <c r="P20" s="326"/>
    </row>
  </sheetData>
  <sortState ref="A5:P15">
    <sortCondition descending="1" ref="N5:N15"/>
  </sortState>
  <mergeCells count="8">
    <mergeCell ref="A19:P19"/>
    <mergeCell ref="A1:P1"/>
    <mergeCell ref="A2:A3"/>
    <mergeCell ref="B2:D2"/>
    <mergeCell ref="E2:G2"/>
    <mergeCell ref="H2:J2"/>
    <mergeCell ref="K2:M2"/>
    <mergeCell ref="N2:P2"/>
  </mergeCells>
  <phoneticPr fontId="2" type="noConversion"/>
  <hyperlinks>
    <hyperlink ref="Q1" location="本篇表次!A1" display="回本篇表次"/>
  </hyperlinks>
  <pageMargins left="0.7" right="0.7" top="0.75" bottom="0.75" header="0.3" footer="0.3"/>
  <pageSetup paperSize="9"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H11"/>
  <sheetViews>
    <sheetView showGridLines="0" zoomScale="92" workbookViewId="0">
      <selection sqref="A1:U1"/>
    </sheetView>
  </sheetViews>
  <sheetFormatPr defaultColWidth="10.875" defaultRowHeight="16.5"/>
  <cols>
    <col min="1" max="1" width="12.625" customWidth="1"/>
    <col min="2" max="2" width="6.625" customWidth="1"/>
    <col min="3" max="7" width="20.625" customWidth="1"/>
    <col min="8" max="8" width="12.875" bestFit="1" customWidth="1"/>
  </cols>
  <sheetData>
    <row r="1" spans="1:8" ht="29.1" customHeight="1">
      <c r="A1" s="557" t="s">
        <v>670</v>
      </c>
      <c r="B1" s="557"/>
      <c r="C1" s="557"/>
      <c r="D1" s="557"/>
      <c r="E1" s="557"/>
      <c r="F1" s="557"/>
      <c r="G1" s="558"/>
      <c r="H1" s="348" t="s">
        <v>644</v>
      </c>
    </row>
    <row r="2" spans="1:8" ht="51.95" customHeight="1">
      <c r="A2" s="513"/>
      <c r="B2" s="514"/>
      <c r="C2" s="205" t="s">
        <v>546</v>
      </c>
      <c r="D2" s="205" t="s">
        <v>545</v>
      </c>
      <c r="E2" s="205" t="s">
        <v>544</v>
      </c>
      <c r="F2" s="205" t="s">
        <v>543</v>
      </c>
      <c r="G2" s="205" t="s">
        <v>542</v>
      </c>
    </row>
    <row r="3" spans="1:8" ht="60" customHeight="1">
      <c r="A3" s="537" t="s">
        <v>508</v>
      </c>
      <c r="B3" s="193" t="s">
        <v>539</v>
      </c>
      <c r="C3" s="185">
        <v>160</v>
      </c>
      <c r="D3" s="185">
        <v>140</v>
      </c>
      <c r="E3" s="185">
        <v>107</v>
      </c>
      <c r="F3" s="204">
        <v>102</v>
      </c>
      <c r="G3" s="204">
        <v>114</v>
      </c>
    </row>
    <row r="4" spans="1:8" ht="60" customHeight="1">
      <c r="A4" s="537"/>
      <c r="B4" s="184" t="s">
        <v>538</v>
      </c>
      <c r="C4" s="183">
        <f>SUM(C6,C8)</f>
        <v>100</v>
      </c>
      <c r="D4" s="183">
        <f>SUM(D6,D8)</f>
        <v>100</v>
      </c>
      <c r="E4" s="183">
        <f>SUM(E6,E8)</f>
        <v>100</v>
      </c>
      <c r="F4" s="183">
        <f>SUM(F6,F8)</f>
        <v>99.999999999999986</v>
      </c>
      <c r="G4" s="183">
        <f>SUM(G6,G8)</f>
        <v>100</v>
      </c>
    </row>
    <row r="5" spans="1:8" ht="60" customHeight="1">
      <c r="A5" s="559" t="s">
        <v>541</v>
      </c>
      <c r="B5" s="193" t="s">
        <v>539</v>
      </c>
      <c r="C5" s="181">
        <v>156</v>
      </c>
      <c r="D5" s="181">
        <v>135</v>
      </c>
      <c r="E5" s="181">
        <v>105</v>
      </c>
      <c r="F5" s="203">
        <v>100</v>
      </c>
      <c r="G5" s="203">
        <v>110</v>
      </c>
    </row>
    <row r="6" spans="1:8" ht="60" customHeight="1">
      <c r="A6" s="559"/>
      <c r="B6" s="184" t="s">
        <v>538</v>
      </c>
      <c r="C6" s="183">
        <f>IFERROR(C5/C$3*100,"-")</f>
        <v>97.5</v>
      </c>
      <c r="D6" s="183">
        <f>IFERROR(D5/D$3*100,"-")</f>
        <v>96.428571428571431</v>
      </c>
      <c r="E6" s="183">
        <f>IFERROR(E5/E$3*100,"-")</f>
        <v>98.130841121495322</v>
      </c>
      <c r="F6" s="183">
        <f>IFERROR(F5/F$3*100,"-")</f>
        <v>98.039215686274503</v>
      </c>
      <c r="G6" s="183">
        <f>IFERROR(G5/G$3*100,"-")</f>
        <v>96.491228070175438</v>
      </c>
    </row>
    <row r="7" spans="1:8" ht="60" customHeight="1">
      <c r="A7" s="560" t="s">
        <v>540</v>
      </c>
      <c r="B7" s="193" t="s">
        <v>539</v>
      </c>
      <c r="C7" s="181">
        <v>4</v>
      </c>
      <c r="D7" s="181">
        <v>5</v>
      </c>
      <c r="E7" s="181">
        <v>2</v>
      </c>
      <c r="F7" s="203">
        <v>2</v>
      </c>
      <c r="G7" s="203">
        <v>4</v>
      </c>
    </row>
    <row r="8" spans="1:8" ht="60" customHeight="1">
      <c r="A8" s="561"/>
      <c r="B8" s="180" t="s">
        <v>538</v>
      </c>
      <c r="C8" s="179">
        <f>IFERROR(C7/C$3*100,"-")</f>
        <v>2.5</v>
      </c>
      <c r="D8" s="179">
        <f>IFERROR(D7/D$3*100,"-")</f>
        <v>3.5714285714285712</v>
      </c>
      <c r="E8" s="179">
        <f>IFERROR(E7/E$3*100,"-")</f>
        <v>1.8691588785046727</v>
      </c>
      <c r="F8" s="179">
        <f>IFERROR(F7/F$3*100,"-")</f>
        <v>1.9607843137254901</v>
      </c>
      <c r="G8" s="179">
        <f>IFERROR(G7/G$3*100,"-")</f>
        <v>3.5087719298245612</v>
      </c>
    </row>
    <row r="9" spans="1:8" ht="12.95" customHeight="1">
      <c r="A9" s="163" t="s">
        <v>462</v>
      </c>
      <c r="B9" s="166"/>
      <c r="C9" s="165"/>
      <c r="D9" s="163"/>
      <c r="E9" s="163"/>
      <c r="F9" s="163"/>
      <c r="G9" s="163"/>
    </row>
    <row r="10" spans="1:8">
      <c r="A10" s="163"/>
      <c r="B10" s="202"/>
      <c r="C10" s="201"/>
      <c r="D10" s="199"/>
      <c r="E10" s="199"/>
      <c r="F10" s="199"/>
      <c r="G10" s="199"/>
    </row>
    <row r="11" spans="1:8">
      <c r="A11" s="199"/>
      <c r="B11" s="200"/>
      <c r="C11" s="199"/>
      <c r="D11" s="199"/>
      <c r="E11" s="199"/>
      <c r="F11" s="199"/>
      <c r="G11" s="199"/>
    </row>
  </sheetData>
  <mergeCells count="5">
    <mergeCell ref="A1:G1"/>
    <mergeCell ref="A2:B2"/>
    <mergeCell ref="A3:A4"/>
    <mergeCell ref="A5:A6"/>
    <mergeCell ref="A7:A8"/>
  </mergeCells>
  <phoneticPr fontId="2" type="noConversion"/>
  <hyperlinks>
    <hyperlink ref="H1" location="本篇表次!A1" display="回本篇表次"/>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30"/>
  <sheetViews>
    <sheetView showGridLines="0" zoomScaleNormal="100" workbookViewId="0">
      <selection activeCell="H1" sqref="H1"/>
    </sheetView>
  </sheetViews>
  <sheetFormatPr defaultColWidth="11" defaultRowHeight="16.5"/>
  <cols>
    <col min="1" max="1" width="5" customWidth="1"/>
    <col min="2" max="2" width="6.375" customWidth="1"/>
    <col min="3" max="3" width="9" customWidth="1"/>
    <col min="4" max="4" width="26.625" customWidth="1"/>
    <col min="5" max="7" width="13.375" customWidth="1"/>
    <col min="8" max="8" width="12.625" bestFit="1" customWidth="1"/>
  </cols>
  <sheetData>
    <row r="1" spans="1:8" ht="27" customHeight="1">
      <c r="A1" s="380" t="s">
        <v>24</v>
      </c>
      <c r="B1" s="381"/>
      <c r="C1" s="381"/>
      <c r="D1" s="381"/>
      <c r="E1" s="381"/>
      <c r="F1" s="381"/>
      <c r="G1" s="381"/>
      <c r="H1" s="348" t="s">
        <v>644</v>
      </c>
    </row>
    <row r="2" spans="1:8" ht="21" customHeight="1">
      <c r="A2" s="382"/>
      <c r="B2" s="383"/>
      <c r="C2" s="383"/>
      <c r="D2" s="383"/>
      <c r="E2" s="149" t="s">
        <v>0</v>
      </c>
      <c r="F2" s="150" t="s">
        <v>1</v>
      </c>
      <c r="G2" s="150" t="s">
        <v>2</v>
      </c>
    </row>
    <row r="3" spans="1:8" ht="15.75" customHeight="1">
      <c r="A3" s="384" t="s">
        <v>25</v>
      </c>
      <c r="B3" s="386" t="s">
        <v>3</v>
      </c>
      <c r="C3" s="386"/>
      <c r="D3" s="386"/>
      <c r="E3" s="154">
        <f>SUM(F3:G3)</f>
        <v>23130</v>
      </c>
      <c r="F3" s="154">
        <v>22366</v>
      </c>
      <c r="G3" s="155">
        <v>764</v>
      </c>
    </row>
    <row r="4" spans="1:8" ht="15.75" customHeight="1">
      <c r="A4" s="384"/>
      <c r="B4" s="156"/>
      <c r="C4" s="387" t="s">
        <v>26</v>
      </c>
      <c r="D4" s="387"/>
      <c r="E4" s="154">
        <f t="shared" ref="E4:E8" si="0">SUM(F4:G4)</f>
        <v>5136</v>
      </c>
      <c r="F4" s="154">
        <v>4980</v>
      </c>
      <c r="G4" s="155">
        <v>156</v>
      </c>
    </row>
    <row r="5" spans="1:8" ht="15.75" customHeight="1">
      <c r="A5" s="384"/>
      <c r="B5" s="151"/>
      <c r="C5" s="388" t="s">
        <v>27</v>
      </c>
      <c r="D5" s="388"/>
      <c r="E5" s="152">
        <f t="shared" si="0"/>
        <v>17994</v>
      </c>
      <c r="F5" s="152">
        <v>17386</v>
      </c>
      <c r="G5" s="153">
        <v>608</v>
      </c>
    </row>
    <row r="6" spans="1:8" ht="15.75" customHeight="1">
      <c r="A6" s="384"/>
      <c r="B6" s="389" t="s">
        <v>0</v>
      </c>
      <c r="C6" s="386"/>
      <c r="D6" s="386"/>
      <c r="E6" s="154">
        <f t="shared" si="0"/>
        <v>23130</v>
      </c>
      <c r="F6" s="154">
        <f>SUM(F7:F8)</f>
        <v>22366</v>
      </c>
      <c r="G6" s="154">
        <f>SUM(G7:G8)</f>
        <v>764</v>
      </c>
    </row>
    <row r="7" spans="1:8" ht="15.75" customHeight="1">
      <c r="A7" s="384"/>
      <c r="B7" s="156"/>
      <c r="C7" s="387" t="s">
        <v>28</v>
      </c>
      <c r="D7" s="387"/>
      <c r="E7" s="154">
        <f t="shared" si="0"/>
        <v>18408</v>
      </c>
      <c r="F7" s="154">
        <v>17779</v>
      </c>
      <c r="G7" s="155">
        <v>629</v>
      </c>
    </row>
    <row r="8" spans="1:8" ht="15.75" customHeight="1">
      <c r="A8" s="385"/>
      <c r="B8" s="151"/>
      <c r="C8" s="388" t="s">
        <v>29</v>
      </c>
      <c r="D8" s="388"/>
      <c r="E8" s="152">
        <f t="shared" si="0"/>
        <v>4722</v>
      </c>
      <c r="F8" s="152">
        <v>4587</v>
      </c>
      <c r="G8" s="152">
        <v>135</v>
      </c>
    </row>
    <row r="9" spans="1:8" ht="15.75" customHeight="1">
      <c r="A9" s="391" t="s">
        <v>4</v>
      </c>
      <c r="B9" s="394" t="s">
        <v>5</v>
      </c>
      <c r="C9" s="395"/>
      <c r="D9" s="395"/>
      <c r="E9" s="157">
        <f>SUM(E10:E12,E16,E24:E27)</f>
        <v>23783</v>
      </c>
      <c r="F9" s="157">
        <v>23099</v>
      </c>
      <c r="G9" s="157">
        <v>684</v>
      </c>
    </row>
    <row r="10" spans="1:8" ht="15.75" customHeight="1">
      <c r="A10" s="392"/>
      <c r="B10" s="396" t="s">
        <v>30</v>
      </c>
      <c r="C10" s="396"/>
      <c r="D10" s="396"/>
      <c r="E10" s="154">
        <f t="shared" ref="E10" si="1">SUM(F10:G10)</f>
        <v>2918</v>
      </c>
      <c r="F10" s="154">
        <v>2865</v>
      </c>
      <c r="G10" s="154">
        <v>53</v>
      </c>
    </row>
    <row r="11" spans="1:8" ht="15.75" customHeight="1">
      <c r="A11" s="392"/>
      <c r="B11" s="397" t="s">
        <v>6</v>
      </c>
      <c r="C11" s="396"/>
      <c r="D11" s="396"/>
      <c r="E11" s="154"/>
      <c r="F11" s="154"/>
      <c r="G11" s="154"/>
    </row>
    <row r="12" spans="1:8" ht="15.75" customHeight="1">
      <c r="A12" s="392"/>
      <c r="B12" s="398" t="s">
        <v>7</v>
      </c>
      <c r="C12" s="399"/>
      <c r="D12" s="399"/>
      <c r="E12" s="154">
        <f t="shared" ref="E12:E15" si="2">SUM(F12:G12)</f>
        <v>395</v>
      </c>
      <c r="F12" s="154">
        <v>395</v>
      </c>
      <c r="G12" s="154" t="s">
        <v>31</v>
      </c>
    </row>
    <row r="13" spans="1:8" ht="15.75" customHeight="1">
      <c r="A13" s="392"/>
      <c r="B13" s="399" t="s">
        <v>8</v>
      </c>
      <c r="C13" s="399"/>
      <c r="D13" s="399"/>
      <c r="E13" s="154">
        <f t="shared" si="2"/>
        <v>294</v>
      </c>
      <c r="F13" s="154">
        <v>294</v>
      </c>
      <c r="G13" s="154" t="s">
        <v>9</v>
      </c>
    </row>
    <row r="14" spans="1:8" ht="15.75" customHeight="1">
      <c r="A14" s="392"/>
      <c r="B14" s="399" t="s">
        <v>614</v>
      </c>
      <c r="C14" s="399"/>
      <c r="D14" s="399"/>
      <c r="E14" s="154">
        <f t="shared" si="2"/>
        <v>93</v>
      </c>
      <c r="F14" s="154">
        <v>93</v>
      </c>
      <c r="G14" s="154" t="s">
        <v>9</v>
      </c>
    </row>
    <row r="15" spans="1:8" ht="15.75" customHeight="1">
      <c r="A15" s="392"/>
      <c r="B15" s="399" t="s">
        <v>10</v>
      </c>
      <c r="C15" s="399"/>
      <c r="D15" s="399"/>
      <c r="E15" s="154">
        <f t="shared" si="2"/>
        <v>8</v>
      </c>
      <c r="F15" s="154">
        <v>8</v>
      </c>
      <c r="G15" s="154" t="s">
        <v>9</v>
      </c>
    </row>
    <row r="16" spans="1:8" ht="15.75" customHeight="1">
      <c r="A16" s="392"/>
      <c r="B16" s="400" t="s">
        <v>11</v>
      </c>
      <c r="C16" s="396"/>
      <c r="D16" s="396"/>
      <c r="E16" s="154">
        <f>SUM(E17:E19)</f>
        <v>7354</v>
      </c>
      <c r="F16" s="154">
        <v>7172</v>
      </c>
      <c r="G16" s="154">
        <v>182</v>
      </c>
    </row>
    <row r="17" spans="1:7" ht="15.75" customHeight="1">
      <c r="A17" s="392"/>
      <c r="B17" s="397" t="s">
        <v>12</v>
      </c>
      <c r="C17" s="396"/>
      <c r="D17" s="396"/>
      <c r="E17" s="154">
        <f t="shared" ref="E17" si="3">SUM(F17:G17)</f>
        <v>4711</v>
      </c>
      <c r="F17" s="154">
        <v>4565</v>
      </c>
      <c r="G17" s="154">
        <v>146</v>
      </c>
    </row>
    <row r="18" spans="1:7" ht="15.75" customHeight="1">
      <c r="A18" s="392"/>
      <c r="B18" s="397" t="s">
        <v>13</v>
      </c>
      <c r="C18" s="396"/>
      <c r="D18" s="396"/>
      <c r="E18" s="154"/>
      <c r="F18" s="154"/>
      <c r="G18" s="154"/>
    </row>
    <row r="19" spans="1:7" ht="15.75" customHeight="1">
      <c r="A19" s="392"/>
      <c r="B19" s="387" t="s">
        <v>14</v>
      </c>
      <c r="C19" s="387"/>
      <c r="D19" s="387"/>
      <c r="E19" s="154">
        <f>SUM(E20:E23)</f>
        <v>2643</v>
      </c>
      <c r="F19" s="154">
        <v>2607</v>
      </c>
      <c r="G19" s="154">
        <v>36</v>
      </c>
    </row>
    <row r="20" spans="1:7" ht="15.75" customHeight="1">
      <c r="A20" s="392"/>
      <c r="B20" s="387" t="s">
        <v>15</v>
      </c>
      <c r="C20" s="387"/>
      <c r="D20" s="387"/>
      <c r="E20" s="154">
        <f t="shared" ref="E20:E22" si="4">SUM(F20:G20)</f>
        <v>131</v>
      </c>
      <c r="F20" s="154">
        <v>123</v>
      </c>
      <c r="G20" s="154">
        <v>8</v>
      </c>
    </row>
    <row r="21" spans="1:7" ht="15.75" customHeight="1">
      <c r="A21" s="392"/>
      <c r="B21" s="387" t="s">
        <v>16</v>
      </c>
      <c r="C21" s="387"/>
      <c r="D21" s="387"/>
      <c r="E21" s="154">
        <f t="shared" si="4"/>
        <v>1544</v>
      </c>
      <c r="F21" s="154">
        <v>1534</v>
      </c>
      <c r="G21" s="154">
        <v>10</v>
      </c>
    </row>
    <row r="22" spans="1:7" ht="15.75" customHeight="1">
      <c r="A22" s="392"/>
      <c r="B22" s="387" t="s">
        <v>17</v>
      </c>
      <c r="C22" s="387"/>
      <c r="D22" s="387"/>
      <c r="E22" s="154">
        <f t="shared" si="4"/>
        <v>968</v>
      </c>
      <c r="F22" s="154">
        <v>950</v>
      </c>
      <c r="G22" s="154">
        <v>18</v>
      </c>
    </row>
    <row r="23" spans="1:7" ht="15.75" customHeight="1">
      <c r="A23" s="392"/>
      <c r="B23" s="390" t="s">
        <v>32</v>
      </c>
      <c r="C23" s="390"/>
      <c r="D23" s="390"/>
      <c r="E23" s="154">
        <v>0</v>
      </c>
      <c r="F23" s="154">
        <v>0</v>
      </c>
      <c r="G23" s="154" t="s">
        <v>33</v>
      </c>
    </row>
    <row r="24" spans="1:7" ht="15.75" customHeight="1">
      <c r="A24" s="392"/>
      <c r="B24" s="403" t="s">
        <v>18</v>
      </c>
      <c r="C24" s="383"/>
      <c r="D24" s="383"/>
      <c r="E24" s="154">
        <f>SUM(F24:G24)</f>
        <v>12437</v>
      </c>
      <c r="F24" s="154">
        <v>12012</v>
      </c>
      <c r="G24" s="154">
        <v>425</v>
      </c>
    </row>
    <row r="25" spans="1:7" ht="15.75" customHeight="1">
      <c r="A25" s="392"/>
      <c r="B25" s="403" t="s">
        <v>19</v>
      </c>
      <c r="C25" s="383"/>
      <c r="D25" s="383"/>
      <c r="E25" s="154">
        <f t="shared" ref="E25:E28" si="5">SUM(F25:G25)</f>
        <v>159</v>
      </c>
      <c r="F25" s="154">
        <v>149</v>
      </c>
      <c r="G25" s="154">
        <v>10</v>
      </c>
    </row>
    <row r="26" spans="1:7" ht="15.75" customHeight="1">
      <c r="A26" s="392"/>
      <c r="B26" s="403" t="s">
        <v>20</v>
      </c>
      <c r="C26" s="383"/>
      <c r="D26" s="383"/>
      <c r="E26" s="154">
        <f t="shared" si="5"/>
        <v>478</v>
      </c>
      <c r="F26" s="154">
        <v>464</v>
      </c>
      <c r="G26" s="154">
        <v>14</v>
      </c>
    </row>
    <row r="27" spans="1:7" ht="15.75" customHeight="1">
      <c r="A27" s="393"/>
      <c r="B27" s="404" t="s">
        <v>21</v>
      </c>
      <c r="C27" s="405"/>
      <c r="D27" s="405"/>
      <c r="E27" s="152">
        <f t="shared" si="5"/>
        <v>42</v>
      </c>
      <c r="F27" s="152">
        <v>42</v>
      </c>
      <c r="G27" s="152">
        <v>0</v>
      </c>
    </row>
    <row r="28" spans="1:7" ht="15.75" customHeight="1">
      <c r="A28" s="406" t="s">
        <v>22</v>
      </c>
      <c r="B28" s="406"/>
      <c r="C28" s="406"/>
      <c r="D28" s="406"/>
      <c r="E28" s="152">
        <f t="shared" si="5"/>
        <v>0</v>
      </c>
      <c r="F28" s="152" t="s">
        <v>33</v>
      </c>
      <c r="G28" s="152" t="s">
        <v>9</v>
      </c>
    </row>
    <row r="29" spans="1:7">
      <c r="A29" s="402" t="s">
        <v>34</v>
      </c>
      <c r="B29" s="383"/>
      <c r="C29" s="383"/>
      <c r="D29" s="383"/>
      <c r="E29" s="2"/>
      <c r="F29" s="2"/>
      <c r="G29" s="1"/>
    </row>
    <row r="30" spans="1:7">
      <c r="A30" s="401" t="s">
        <v>23</v>
      </c>
      <c r="B30" s="402"/>
      <c r="C30" s="402"/>
      <c r="D30" s="402"/>
      <c r="E30" s="402"/>
      <c r="F30" s="2"/>
      <c r="G30" s="1"/>
    </row>
  </sheetData>
  <mergeCells count="32">
    <mergeCell ref="A30:E30"/>
    <mergeCell ref="B24:D24"/>
    <mergeCell ref="B25:D25"/>
    <mergeCell ref="B26:D26"/>
    <mergeCell ref="B27:D27"/>
    <mergeCell ref="A28:D28"/>
    <mergeCell ref="A29:D29"/>
    <mergeCell ref="B23:D23"/>
    <mergeCell ref="A9:A27"/>
    <mergeCell ref="B9:D9"/>
    <mergeCell ref="B10:D10"/>
    <mergeCell ref="B11:D11"/>
    <mergeCell ref="B12:D12"/>
    <mergeCell ref="B13:D13"/>
    <mergeCell ref="B14:D14"/>
    <mergeCell ref="B15:D15"/>
    <mergeCell ref="B16:D16"/>
    <mergeCell ref="B17:D17"/>
    <mergeCell ref="B18:D18"/>
    <mergeCell ref="B19:D19"/>
    <mergeCell ref="B20:D20"/>
    <mergeCell ref="B21:D21"/>
    <mergeCell ref="B22:D22"/>
    <mergeCell ref="A1:G1"/>
    <mergeCell ref="A2:D2"/>
    <mergeCell ref="A3:A8"/>
    <mergeCell ref="B3:D3"/>
    <mergeCell ref="C4:D4"/>
    <mergeCell ref="C5:D5"/>
    <mergeCell ref="B6:D6"/>
    <mergeCell ref="C7:D7"/>
    <mergeCell ref="C8:D8"/>
  </mergeCells>
  <phoneticPr fontId="2" type="noConversion"/>
  <hyperlinks>
    <hyperlink ref="H1" location="本篇表次!A1" display="回本篇表次"/>
  </hyperlink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19"/>
  <sheetViews>
    <sheetView showGridLines="0" workbookViewId="0">
      <selection activeCell="O1" sqref="O1"/>
    </sheetView>
  </sheetViews>
  <sheetFormatPr defaultColWidth="11" defaultRowHeight="16.5"/>
  <cols>
    <col min="1" max="14" width="8.5" customWidth="1"/>
    <col min="15" max="15" width="12.625" bestFit="1" customWidth="1"/>
  </cols>
  <sheetData>
    <row r="1" spans="1:15" ht="27.75" customHeight="1">
      <c r="A1" s="407" t="s">
        <v>35</v>
      </c>
      <c r="B1" s="407"/>
      <c r="C1" s="407"/>
      <c r="D1" s="407"/>
      <c r="E1" s="407"/>
      <c r="F1" s="407"/>
      <c r="G1" s="407"/>
      <c r="H1" s="407"/>
      <c r="I1" s="407"/>
      <c r="J1" s="407"/>
      <c r="K1" s="407"/>
      <c r="L1" s="407"/>
      <c r="M1" s="407"/>
      <c r="N1" s="407"/>
      <c r="O1" s="348" t="s">
        <v>644</v>
      </c>
    </row>
    <row r="2" spans="1:15" ht="33" customHeight="1">
      <c r="A2" s="408"/>
      <c r="B2" s="410" t="s">
        <v>36</v>
      </c>
      <c r="C2" s="413" t="s">
        <v>37</v>
      </c>
      <c r="D2" s="414"/>
      <c r="E2" s="414"/>
      <c r="F2" s="414"/>
      <c r="G2" s="414"/>
      <c r="H2" s="414"/>
      <c r="I2" s="414"/>
      <c r="J2" s="414"/>
      <c r="K2" s="414"/>
      <c r="L2" s="414"/>
      <c r="M2" s="414"/>
      <c r="N2" s="414"/>
    </row>
    <row r="3" spans="1:15" ht="25.5" customHeight="1">
      <c r="A3" s="409"/>
      <c r="B3" s="411"/>
      <c r="C3" s="415" t="s">
        <v>0</v>
      </c>
      <c r="D3" s="410" t="s">
        <v>38</v>
      </c>
      <c r="E3" s="410" t="s">
        <v>39</v>
      </c>
      <c r="F3" s="410" t="s">
        <v>40</v>
      </c>
      <c r="G3" s="414" t="s">
        <v>41</v>
      </c>
      <c r="H3" s="414"/>
      <c r="I3" s="414"/>
      <c r="J3" s="414"/>
      <c r="K3" s="414"/>
      <c r="L3" s="410" t="s">
        <v>42</v>
      </c>
      <c r="M3" s="410" t="s">
        <v>43</v>
      </c>
      <c r="N3" s="410" t="s">
        <v>44</v>
      </c>
    </row>
    <row r="4" spans="1:15" ht="128.25" customHeight="1">
      <c r="A4" s="409"/>
      <c r="B4" s="412"/>
      <c r="C4" s="412"/>
      <c r="D4" s="412"/>
      <c r="E4" s="412"/>
      <c r="F4" s="412"/>
      <c r="G4" s="3" t="s">
        <v>7</v>
      </c>
      <c r="H4" s="4" t="s">
        <v>45</v>
      </c>
      <c r="I4" s="4" t="s">
        <v>46</v>
      </c>
      <c r="J4" s="4" t="s">
        <v>47</v>
      </c>
      <c r="K4" s="4" t="s">
        <v>48</v>
      </c>
      <c r="L4" s="412"/>
      <c r="M4" s="412"/>
      <c r="N4" s="412"/>
    </row>
    <row r="5" spans="1:15" ht="21" customHeight="1">
      <c r="A5" s="5" t="s">
        <v>49</v>
      </c>
      <c r="B5" s="6">
        <v>12845</v>
      </c>
      <c r="C5" s="6">
        <f t="shared" ref="C5:C12" si="0">SUM(D5:G5,L5,M5,N5)</f>
        <v>15386</v>
      </c>
      <c r="D5" s="6">
        <v>7</v>
      </c>
      <c r="E5" s="6">
        <v>98</v>
      </c>
      <c r="F5" s="6">
        <v>197</v>
      </c>
      <c r="G5" s="6">
        <f t="shared" ref="G5:G12" si="1">SUM(H5:K5)</f>
        <v>13676</v>
      </c>
      <c r="H5" s="6">
        <f>5367+1012</f>
        <v>6379</v>
      </c>
      <c r="I5" s="6">
        <f>2241+4110</f>
        <v>6351</v>
      </c>
      <c r="J5" s="6">
        <v>808</v>
      </c>
      <c r="K5" s="6">
        <v>138</v>
      </c>
      <c r="L5" s="6">
        <v>18</v>
      </c>
      <c r="M5" s="6">
        <v>1383</v>
      </c>
      <c r="N5" s="6">
        <v>7</v>
      </c>
    </row>
    <row r="6" spans="1:15" ht="21" customHeight="1">
      <c r="A6" s="5" t="s">
        <v>50</v>
      </c>
      <c r="B6" s="6">
        <v>10597</v>
      </c>
      <c r="C6" s="6">
        <f t="shared" si="0"/>
        <v>12732</v>
      </c>
      <c r="D6" s="6">
        <v>2</v>
      </c>
      <c r="E6" s="6">
        <v>67</v>
      </c>
      <c r="F6" s="6">
        <v>145</v>
      </c>
      <c r="G6" s="6">
        <f t="shared" si="1"/>
        <v>11464</v>
      </c>
      <c r="H6" s="6">
        <f>4399+931</f>
        <v>5330</v>
      </c>
      <c r="I6" s="6">
        <f>1943+3354</f>
        <v>5297</v>
      </c>
      <c r="J6" s="6">
        <v>661</v>
      </c>
      <c r="K6" s="6">
        <v>176</v>
      </c>
      <c r="L6" s="6">
        <v>26</v>
      </c>
      <c r="M6" s="6">
        <v>1025</v>
      </c>
      <c r="N6" s="6">
        <v>3</v>
      </c>
    </row>
    <row r="7" spans="1:15" ht="21" customHeight="1">
      <c r="A7" s="5" t="s">
        <v>51</v>
      </c>
      <c r="B7" s="6">
        <v>10670</v>
      </c>
      <c r="C7" s="6">
        <f t="shared" si="0"/>
        <v>12306</v>
      </c>
      <c r="D7" s="6">
        <v>7</v>
      </c>
      <c r="E7" s="6">
        <v>75</v>
      </c>
      <c r="F7" s="6">
        <v>135</v>
      </c>
      <c r="G7" s="6">
        <f t="shared" si="1"/>
        <v>10644</v>
      </c>
      <c r="H7" s="6">
        <f>4405+827</f>
        <v>5232</v>
      </c>
      <c r="I7" s="6">
        <f>1718+2863</f>
        <v>4581</v>
      </c>
      <c r="J7" s="6">
        <v>687</v>
      </c>
      <c r="K7" s="6">
        <v>144</v>
      </c>
      <c r="L7" s="6">
        <v>29</v>
      </c>
      <c r="M7" s="6">
        <v>1413</v>
      </c>
      <c r="N7" s="6">
        <v>3</v>
      </c>
    </row>
    <row r="8" spans="1:15" ht="21" customHeight="1">
      <c r="A8" s="5" t="s">
        <v>52</v>
      </c>
      <c r="B8" s="6">
        <v>9505</v>
      </c>
      <c r="C8" s="6">
        <f t="shared" si="0"/>
        <v>10976</v>
      </c>
      <c r="D8" s="6">
        <v>1</v>
      </c>
      <c r="E8" s="6">
        <v>52</v>
      </c>
      <c r="F8" s="6">
        <v>135</v>
      </c>
      <c r="G8" s="6">
        <f t="shared" si="1"/>
        <v>9518</v>
      </c>
      <c r="H8" s="6">
        <f>4047+653</f>
        <v>4700</v>
      </c>
      <c r="I8" s="6">
        <f>1560+2513</f>
        <v>4073</v>
      </c>
      <c r="J8" s="6">
        <v>613</v>
      </c>
      <c r="K8" s="6">
        <v>132</v>
      </c>
      <c r="L8" s="6">
        <v>32</v>
      </c>
      <c r="M8" s="6">
        <v>1234</v>
      </c>
      <c r="N8" s="6">
        <v>4</v>
      </c>
    </row>
    <row r="9" spans="1:15" ht="21" customHeight="1">
      <c r="A9" s="5" t="s">
        <v>53</v>
      </c>
      <c r="B9" s="6">
        <v>9071</v>
      </c>
      <c r="C9" s="6">
        <f t="shared" si="0"/>
        <v>10601</v>
      </c>
      <c r="D9" s="6">
        <v>2</v>
      </c>
      <c r="E9" s="6">
        <v>71</v>
      </c>
      <c r="F9" s="6">
        <v>157</v>
      </c>
      <c r="G9" s="6">
        <f t="shared" si="1"/>
        <v>9283</v>
      </c>
      <c r="H9" s="6">
        <f>3716+699</f>
        <v>4415</v>
      </c>
      <c r="I9" s="6">
        <f>1678+2481</f>
        <v>4159</v>
      </c>
      <c r="J9" s="6">
        <v>586</v>
      </c>
      <c r="K9" s="6">
        <v>123</v>
      </c>
      <c r="L9" s="6">
        <v>15</v>
      </c>
      <c r="M9" s="6">
        <v>1071</v>
      </c>
      <c r="N9" s="6">
        <v>2</v>
      </c>
    </row>
    <row r="10" spans="1:15" ht="21" customHeight="1">
      <c r="A10" s="5" t="s">
        <v>54</v>
      </c>
      <c r="B10" s="6">
        <v>8420</v>
      </c>
      <c r="C10" s="6">
        <f t="shared" si="0"/>
        <v>9893</v>
      </c>
      <c r="D10" s="6">
        <v>4</v>
      </c>
      <c r="E10" s="6">
        <v>60</v>
      </c>
      <c r="F10" s="6">
        <v>191</v>
      </c>
      <c r="G10" s="6">
        <f t="shared" si="1"/>
        <v>8619</v>
      </c>
      <c r="H10" s="6">
        <f>3531+629</f>
        <v>4160</v>
      </c>
      <c r="I10" s="6">
        <f>1582+2371</f>
        <v>3953</v>
      </c>
      <c r="J10" s="6">
        <v>441</v>
      </c>
      <c r="K10" s="6">
        <v>65</v>
      </c>
      <c r="L10" s="6">
        <v>14</v>
      </c>
      <c r="M10" s="6">
        <v>1004</v>
      </c>
      <c r="N10" s="6">
        <v>1</v>
      </c>
    </row>
    <row r="11" spans="1:15" ht="21" customHeight="1">
      <c r="A11" s="5" t="s">
        <v>55</v>
      </c>
      <c r="B11" s="6">
        <v>8550</v>
      </c>
      <c r="C11" s="6">
        <f t="shared" si="0"/>
        <v>9913</v>
      </c>
      <c r="D11" s="6">
        <v>3</v>
      </c>
      <c r="E11" s="6">
        <v>84</v>
      </c>
      <c r="F11" s="6">
        <v>154</v>
      </c>
      <c r="G11" s="6">
        <f t="shared" si="1"/>
        <v>8467</v>
      </c>
      <c r="H11" s="6">
        <f>3469+578</f>
        <v>4047</v>
      </c>
      <c r="I11" s="6">
        <f>1704+2299</f>
        <v>4003</v>
      </c>
      <c r="J11" s="6">
        <v>351</v>
      </c>
      <c r="K11" s="6">
        <v>66</v>
      </c>
      <c r="L11" s="6">
        <v>14</v>
      </c>
      <c r="M11" s="6">
        <v>1152</v>
      </c>
      <c r="N11" s="6">
        <v>39</v>
      </c>
    </row>
    <row r="12" spans="1:15" ht="21" customHeight="1">
      <c r="A12" s="5" t="s">
        <v>56</v>
      </c>
      <c r="B12" s="6">
        <v>9150</v>
      </c>
      <c r="C12" s="6">
        <f t="shared" si="0"/>
        <v>10777</v>
      </c>
      <c r="D12" s="6">
        <v>2</v>
      </c>
      <c r="E12" s="6">
        <v>54</v>
      </c>
      <c r="F12" s="6">
        <v>150</v>
      </c>
      <c r="G12" s="6">
        <f t="shared" si="1"/>
        <v>9309</v>
      </c>
      <c r="H12" s="6">
        <f>3829+585</f>
        <v>4414</v>
      </c>
      <c r="I12" s="6">
        <f>1802+2580</f>
        <v>4382</v>
      </c>
      <c r="J12" s="6">
        <v>456</v>
      </c>
      <c r="K12" s="6">
        <v>57</v>
      </c>
      <c r="L12" s="6">
        <v>16</v>
      </c>
      <c r="M12" s="6">
        <v>1241</v>
      </c>
      <c r="N12" s="6">
        <v>5</v>
      </c>
    </row>
    <row r="13" spans="1:15" ht="21" customHeight="1">
      <c r="A13" s="5" t="s">
        <v>57</v>
      </c>
      <c r="B13" s="6">
        <v>8591</v>
      </c>
      <c r="C13" s="6">
        <v>9944</v>
      </c>
      <c r="D13" s="6">
        <v>2</v>
      </c>
      <c r="E13" s="6">
        <v>62</v>
      </c>
      <c r="F13" s="6">
        <v>115</v>
      </c>
      <c r="G13" s="6">
        <v>8508</v>
      </c>
      <c r="H13" s="6">
        <v>4058</v>
      </c>
      <c r="I13" s="6">
        <v>4051</v>
      </c>
      <c r="J13" s="6">
        <v>353</v>
      </c>
      <c r="K13" s="6">
        <v>46</v>
      </c>
      <c r="L13" s="6">
        <v>18</v>
      </c>
      <c r="M13" s="6">
        <v>1238</v>
      </c>
      <c r="N13" s="6">
        <v>1</v>
      </c>
    </row>
    <row r="14" spans="1:15" ht="21" customHeight="1">
      <c r="A14" s="7" t="s">
        <v>58</v>
      </c>
      <c r="B14" s="8">
        <v>9252</v>
      </c>
      <c r="C14" s="8">
        <v>10697</v>
      </c>
      <c r="D14" s="8">
        <v>6</v>
      </c>
      <c r="E14" s="8">
        <v>35</v>
      </c>
      <c r="F14" s="8">
        <v>139</v>
      </c>
      <c r="G14" s="8">
        <v>9336</v>
      </c>
      <c r="H14" s="8">
        <f>3704+551</f>
        <v>4255</v>
      </c>
      <c r="I14" s="8">
        <f>2115+2520</f>
        <v>4635</v>
      </c>
      <c r="J14" s="8">
        <v>407</v>
      </c>
      <c r="K14" s="8">
        <v>39</v>
      </c>
      <c r="L14" s="8">
        <v>11</v>
      </c>
      <c r="M14" s="8">
        <v>1170</v>
      </c>
      <c r="N14" s="8">
        <v>0</v>
      </c>
    </row>
    <row r="15" spans="1:15" ht="15.95" customHeight="1">
      <c r="A15" s="417" t="s">
        <v>59</v>
      </c>
      <c r="B15" s="417"/>
      <c r="C15" s="417"/>
      <c r="D15" s="417"/>
      <c r="E15" s="417"/>
      <c r="F15" s="417"/>
      <c r="G15" s="417"/>
      <c r="H15" s="417"/>
      <c r="I15" s="417"/>
      <c r="J15" s="417"/>
      <c r="K15" s="417"/>
      <c r="L15" s="9"/>
      <c r="M15" s="9"/>
      <c r="N15" s="9"/>
    </row>
    <row r="16" spans="1:15">
      <c r="A16" s="417" t="s">
        <v>613</v>
      </c>
      <c r="B16" s="417"/>
      <c r="C16" s="417"/>
      <c r="D16" s="417"/>
      <c r="E16" s="417"/>
      <c r="F16" s="417"/>
      <c r="G16" s="417"/>
      <c r="H16" s="417"/>
      <c r="I16" s="417"/>
      <c r="J16" s="417"/>
      <c r="K16" s="417"/>
      <c r="L16" s="417"/>
      <c r="M16" s="417"/>
      <c r="N16" s="417"/>
    </row>
    <row r="17" spans="1:14">
      <c r="A17" s="417" t="s">
        <v>60</v>
      </c>
      <c r="B17" s="417"/>
      <c r="C17" s="417"/>
      <c r="D17" s="417"/>
      <c r="E17" s="417"/>
      <c r="F17" s="417"/>
      <c r="G17" s="417"/>
      <c r="H17" s="417"/>
      <c r="I17" s="417"/>
      <c r="J17" s="417"/>
      <c r="K17" s="417"/>
      <c r="L17" s="417"/>
      <c r="M17" s="417"/>
      <c r="N17" s="417"/>
    </row>
    <row r="18" spans="1:14">
      <c r="A18" s="416" t="s">
        <v>61</v>
      </c>
      <c r="B18" s="417"/>
      <c r="C18" s="417"/>
      <c r="D18" s="417"/>
      <c r="E18" s="417"/>
      <c r="F18" s="417"/>
      <c r="G18" s="417"/>
      <c r="H18" s="417"/>
      <c r="I18" s="417"/>
      <c r="J18" s="417"/>
      <c r="K18" s="417"/>
      <c r="L18" s="417"/>
      <c r="M18" s="417"/>
      <c r="N18" s="417"/>
    </row>
    <row r="19" spans="1:14">
      <c r="A19" s="416" t="s">
        <v>62</v>
      </c>
      <c r="B19" s="417"/>
      <c r="C19" s="418"/>
      <c r="D19" s="417"/>
      <c r="E19" s="417"/>
      <c r="F19" s="417"/>
      <c r="G19" s="417"/>
      <c r="H19" s="417"/>
      <c r="I19" s="417"/>
      <c r="J19" s="417"/>
      <c r="K19" s="417"/>
      <c r="L19" s="417"/>
      <c r="M19" s="417"/>
      <c r="N19" s="417"/>
    </row>
  </sheetData>
  <mergeCells count="17">
    <mergeCell ref="A19:N19"/>
    <mergeCell ref="M3:M4"/>
    <mergeCell ref="N3:N4"/>
    <mergeCell ref="A15:K15"/>
    <mergeCell ref="A16:N16"/>
    <mergeCell ref="A17:N17"/>
    <mergeCell ref="A18:N18"/>
    <mergeCell ref="A1:N1"/>
    <mergeCell ref="A2:A4"/>
    <mergeCell ref="B2:B4"/>
    <mergeCell ref="C2:N2"/>
    <mergeCell ref="C3:C4"/>
    <mergeCell ref="D3:D4"/>
    <mergeCell ref="E3:E4"/>
    <mergeCell ref="F3:F4"/>
    <mergeCell ref="G3:K3"/>
    <mergeCell ref="L3:L4"/>
  </mergeCells>
  <phoneticPr fontId="2" type="noConversion"/>
  <hyperlinks>
    <hyperlink ref="O1" location="本篇表次!A1" display="回本篇表次"/>
  </hyperlinks>
  <printOptions horizontalCentered="1" verticalCentered="1"/>
  <pageMargins left="0.70866141732283472" right="0.70866141732283472" top="0.74803149606299213" bottom="0.74803149606299213" header="0.31496062992125984" footer="0.31496062992125984"/>
  <pageSetup paperSize="224" scale="77"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34"/>
  <sheetViews>
    <sheetView showGridLines="0" workbookViewId="0">
      <selection activeCell="F1" sqref="F1"/>
    </sheetView>
  </sheetViews>
  <sheetFormatPr defaultColWidth="10.375" defaultRowHeight="16.5"/>
  <cols>
    <col min="4" max="4" width="20.375" customWidth="1"/>
    <col min="6" max="6" width="12.625" bestFit="1" customWidth="1"/>
  </cols>
  <sheetData>
    <row r="1" spans="1:6" ht="30" customHeight="1">
      <c r="A1" s="427" t="s">
        <v>645</v>
      </c>
      <c r="B1" s="427"/>
      <c r="C1" s="427"/>
      <c r="D1" s="427"/>
      <c r="E1" s="427"/>
      <c r="F1" s="348" t="s">
        <v>644</v>
      </c>
    </row>
    <row r="2" spans="1:6" ht="18.600000000000001" customHeight="1">
      <c r="A2" s="378" t="s">
        <v>63</v>
      </c>
      <c r="B2" s="378"/>
      <c r="C2" s="378"/>
      <c r="D2" s="378"/>
      <c r="E2" s="11">
        <v>397</v>
      </c>
    </row>
    <row r="3" spans="1:6" ht="18.600000000000001" customHeight="1">
      <c r="A3" s="408" t="s">
        <v>64</v>
      </c>
      <c r="B3" s="424" t="s">
        <v>65</v>
      </c>
      <c r="C3" s="424"/>
      <c r="D3" s="424"/>
      <c r="E3" s="12">
        <v>425</v>
      </c>
    </row>
    <row r="4" spans="1:6" ht="18.600000000000001" customHeight="1">
      <c r="A4" s="409"/>
      <c r="B4" s="428" t="s">
        <v>66</v>
      </c>
      <c r="C4" s="428"/>
      <c r="D4" s="428"/>
      <c r="E4" s="6">
        <f>SUM(E5,E15:E16)</f>
        <v>397</v>
      </c>
    </row>
    <row r="5" spans="1:6" ht="18.600000000000001" customHeight="1">
      <c r="A5" s="409"/>
      <c r="B5" s="429" t="s">
        <v>67</v>
      </c>
      <c r="C5" s="429"/>
      <c r="D5" s="429"/>
      <c r="E5" s="6">
        <f>SUM(E6:E14)</f>
        <v>394</v>
      </c>
    </row>
    <row r="6" spans="1:6" ht="18.600000000000001" customHeight="1">
      <c r="A6" s="409"/>
      <c r="B6" s="430" t="s">
        <v>68</v>
      </c>
      <c r="C6" s="430"/>
      <c r="D6" s="430"/>
      <c r="E6" s="6">
        <v>20</v>
      </c>
    </row>
    <row r="7" spans="1:6" ht="18.600000000000001" customHeight="1">
      <c r="A7" s="409"/>
      <c r="B7" s="430" t="s">
        <v>69</v>
      </c>
      <c r="C7" s="430"/>
      <c r="D7" s="430"/>
      <c r="E7" s="6">
        <v>81</v>
      </c>
    </row>
    <row r="8" spans="1:6" ht="18.600000000000001" customHeight="1">
      <c r="A8" s="409"/>
      <c r="B8" s="430" t="s">
        <v>70</v>
      </c>
      <c r="C8" s="430"/>
      <c r="D8" s="430"/>
      <c r="E8" s="6">
        <v>200</v>
      </c>
    </row>
    <row r="9" spans="1:6" ht="18.600000000000001" customHeight="1">
      <c r="A9" s="409"/>
      <c r="B9" s="430" t="s">
        <v>71</v>
      </c>
      <c r="C9" s="430"/>
      <c r="D9" s="430"/>
      <c r="E9" s="6">
        <v>67</v>
      </c>
    </row>
    <row r="10" spans="1:6" ht="18.600000000000001" customHeight="1">
      <c r="A10" s="409"/>
      <c r="B10" s="430" t="s">
        <v>72</v>
      </c>
      <c r="C10" s="430"/>
      <c r="D10" s="430"/>
      <c r="E10" s="6">
        <v>21</v>
      </c>
    </row>
    <row r="11" spans="1:6" ht="18.600000000000001" customHeight="1">
      <c r="A11" s="409"/>
      <c r="B11" s="430" t="s">
        <v>73</v>
      </c>
      <c r="C11" s="430"/>
      <c r="D11" s="430"/>
      <c r="E11" s="6">
        <v>2</v>
      </c>
    </row>
    <row r="12" spans="1:6" ht="18.600000000000001" customHeight="1">
      <c r="A12" s="409"/>
      <c r="B12" s="430" t="s">
        <v>74</v>
      </c>
      <c r="C12" s="430"/>
      <c r="D12" s="430"/>
      <c r="E12" s="6">
        <v>1</v>
      </c>
    </row>
    <row r="13" spans="1:6" ht="18.600000000000001" customHeight="1">
      <c r="A13" s="409"/>
      <c r="B13" s="430" t="s">
        <v>75</v>
      </c>
      <c r="C13" s="430"/>
      <c r="D13" s="430"/>
      <c r="E13" s="6">
        <v>2</v>
      </c>
    </row>
    <row r="14" spans="1:6" ht="18.600000000000001" customHeight="1">
      <c r="A14" s="409"/>
      <c r="B14" s="430" t="s">
        <v>76</v>
      </c>
      <c r="C14" s="430"/>
      <c r="D14" s="430"/>
      <c r="E14" s="6" t="s">
        <v>77</v>
      </c>
    </row>
    <row r="15" spans="1:6" ht="18.600000000000001" customHeight="1">
      <c r="A15" s="409"/>
      <c r="B15" s="426" t="s">
        <v>78</v>
      </c>
      <c r="C15" s="426"/>
      <c r="D15" s="426"/>
      <c r="E15" s="6">
        <v>3</v>
      </c>
    </row>
    <row r="16" spans="1:6" ht="18.600000000000001" customHeight="1">
      <c r="A16" s="409"/>
      <c r="B16" s="426" t="s">
        <v>79</v>
      </c>
      <c r="C16" s="426"/>
      <c r="D16" s="426"/>
      <c r="E16" s="6" t="s">
        <v>80</v>
      </c>
    </row>
    <row r="17" spans="1:5" ht="18.600000000000001" customHeight="1">
      <c r="A17" s="409"/>
      <c r="B17" s="419" t="s">
        <v>81</v>
      </c>
      <c r="C17" s="419"/>
      <c r="D17" s="419"/>
      <c r="E17" s="6" t="s">
        <v>9</v>
      </c>
    </row>
    <row r="18" spans="1:5" ht="18.600000000000001" customHeight="1">
      <c r="A18" s="409"/>
      <c r="B18" s="419" t="s">
        <v>82</v>
      </c>
      <c r="C18" s="419"/>
      <c r="D18" s="419"/>
      <c r="E18" s="6">
        <v>2</v>
      </c>
    </row>
    <row r="19" spans="1:5" ht="18.600000000000001" customHeight="1">
      <c r="A19" s="409"/>
      <c r="B19" s="419" t="s">
        <v>83</v>
      </c>
      <c r="C19" s="419"/>
      <c r="D19" s="419"/>
      <c r="E19" s="6">
        <v>6</v>
      </c>
    </row>
    <row r="20" spans="1:5" ht="18.600000000000001" customHeight="1">
      <c r="A20" s="409"/>
      <c r="B20" s="419" t="s">
        <v>84</v>
      </c>
      <c r="C20" s="419"/>
      <c r="D20" s="419"/>
      <c r="E20" s="6">
        <v>3</v>
      </c>
    </row>
    <row r="21" spans="1:5" ht="18.600000000000001" customHeight="1">
      <c r="A21" s="409"/>
      <c r="B21" s="419" t="s">
        <v>85</v>
      </c>
      <c r="C21" s="419"/>
      <c r="D21" s="419"/>
      <c r="E21" s="6">
        <v>6</v>
      </c>
    </row>
    <row r="22" spans="1:5" ht="18.600000000000001" customHeight="1">
      <c r="A22" s="409"/>
      <c r="B22" s="419" t="s">
        <v>86</v>
      </c>
      <c r="C22" s="419"/>
      <c r="D22" s="419"/>
      <c r="E22" s="6">
        <v>0</v>
      </c>
    </row>
    <row r="23" spans="1:5" ht="18.600000000000001" customHeight="1">
      <c r="A23" s="409"/>
      <c r="B23" s="419" t="s">
        <v>87</v>
      </c>
      <c r="C23" s="419"/>
      <c r="D23" s="419"/>
      <c r="E23" s="6">
        <v>8</v>
      </c>
    </row>
    <row r="24" spans="1:5" ht="18.600000000000001" customHeight="1">
      <c r="A24" s="423"/>
      <c r="B24" s="422" t="s">
        <v>88</v>
      </c>
      <c r="C24" s="422"/>
      <c r="D24" s="422"/>
      <c r="E24" s="8">
        <v>3</v>
      </c>
    </row>
    <row r="25" spans="1:5" ht="18.600000000000001" customHeight="1">
      <c r="A25" s="408" t="s">
        <v>89</v>
      </c>
      <c r="B25" s="424" t="s">
        <v>65</v>
      </c>
      <c r="C25" s="424"/>
      <c r="D25" s="424"/>
      <c r="E25" s="6">
        <f>SUM(E26:E32)</f>
        <v>301</v>
      </c>
    </row>
    <row r="26" spans="1:5" ht="18.600000000000001" customHeight="1">
      <c r="A26" s="409"/>
      <c r="B26" s="425" t="s">
        <v>90</v>
      </c>
      <c r="C26" s="425"/>
      <c r="D26" s="425"/>
      <c r="E26" s="6">
        <v>301</v>
      </c>
    </row>
    <row r="27" spans="1:5" ht="18.600000000000001" customHeight="1">
      <c r="A27" s="409"/>
      <c r="B27" s="420" t="s">
        <v>47</v>
      </c>
      <c r="C27" s="420"/>
      <c r="D27" s="420"/>
      <c r="E27" s="6" t="s">
        <v>77</v>
      </c>
    </row>
    <row r="28" spans="1:5" ht="18.600000000000001" customHeight="1">
      <c r="A28" s="409"/>
      <c r="B28" s="420" t="s">
        <v>91</v>
      </c>
      <c r="C28" s="420"/>
      <c r="D28" s="420"/>
      <c r="E28" s="6" t="s">
        <v>77</v>
      </c>
    </row>
    <row r="29" spans="1:5" ht="18.600000000000001" customHeight="1">
      <c r="A29" s="409"/>
      <c r="B29" s="420" t="s">
        <v>92</v>
      </c>
      <c r="C29" s="420"/>
      <c r="D29" s="420"/>
      <c r="E29" s="6" t="s">
        <v>77</v>
      </c>
    </row>
    <row r="30" spans="1:5" ht="18.600000000000001" customHeight="1">
      <c r="A30" s="409"/>
      <c r="B30" s="420" t="s">
        <v>93</v>
      </c>
      <c r="C30" s="420"/>
      <c r="D30" s="420"/>
      <c r="E30" s="6" t="s">
        <v>77</v>
      </c>
    </row>
    <row r="31" spans="1:5" ht="18.600000000000001" customHeight="1">
      <c r="A31" s="409"/>
      <c r="B31" s="420" t="s">
        <v>94</v>
      </c>
      <c r="C31" s="420"/>
      <c r="D31" s="420"/>
      <c r="E31" s="6" t="s">
        <v>9</v>
      </c>
    </row>
    <row r="32" spans="1:5" ht="18.600000000000001" customHeight="1">
      <c r="A32" s="423"/>
      <c r="B32" s="421" t="s">
        <v>95</v>
      </c>
      <c r="C32" s="421"/>
      <c r="D32" s="421"/>
      <c r="E32" s="6">
        <v>0</v>
      </c>
    </row>
    <row r="33" spans="1:5" ht="18.600000000000001" customHeight="1">
      <c r="A33" s="378" t="s">
        <v>96</v>
      </c>
      <c r="B33" s="378"/>
      <c r="C33" s="378"/>
      <c r="D33" s="378"/>
      <c r="E33" s="11">
        <f>6+241+54</f>
        <v>301</v>
      </c>
    </row>
    <row r="34" spans="1:5">
      <c r="A34" s="13" t="s">
        <v>97</v>
      </c>
      <c r="B34" s="13"/>
      <c r="C34" s="13"/>
      <c r="D34" s="14"/>
      <c r="E34" s="6"/>
    </row>
  </sheetData>
  <mergeCells count="35">
    <mergeCell ref="A1:E1"/>
    <mergeCell ref="A2:D2"/>
    <mergeCell ref="A3:A24"/>
    <mergeCell ref="B3:D3"/>
    <mergeCell ref="B4:D4"/>
    <mergeCell ref="B5:D5"/>
    <mergeCell ref="B6:D6"/>
    <mergeCell ref="B7:D7"/>
    <mergeCell ref="B8:D8"/>
    <mergeCell ref="B9:D9"/>
    <mergeCell ref="B21:D21"/>
    <mergeCell ref="B10:D10"/>
    <mergeCell ref="B11:D11"/>
    <mergeCell ref="B12:D12"/>
    <mergeCell ref="B13:D13"/>
    <mergeCell ref="B14:D14"/>
    <mergeCell ref="B15:D15"/>
    <mergeCell ref="B16:D16"/>
    <mergeCell ref="B17:D17"/>
    <mergeCell ref="B18:D18"/>
    <mergeCell ref="B19:D19"/>
    <mergeCell ref="B20:D20"/>
    <mergeCell ref="B31:D31"/>
    <mergeCell ref="B32:D32"/>
    <mergeCell ref="A33:D33"/>
    <mergeCell ref="B22:D22"/>
    <mergeCell ref="B23:D23"/>
    <mergeCell ref="B24:D24"/>
    <mergeCell ref="A25:A32"/>
    <mergeCell ref="B25:D25"/>
    <mergeCell ref="B26:D26"/>
    <mergeCell ref="B27:D27"/>
    <mergeCell ref="B28:D28"/>
    <mergeCell ref="B29:D29"/>
    <mergeCell ref="B30:D30"/>
  </mergeCells>
  <phoneticPr fontId="2" type="noConversion"/>
  <hyperlinks>
    <hyperlink ref="F1" location="本篇表次!A1" display="回本篇表次"/>
  </hyperlinks>
  <printOptions horizontalCentered="1" verticalCentered="1"/>
  <pageMargins left="0.70866141732283472" right="0.70866141732283472" top="0.74803149606299213" bottom="0.74803149606299213" header="0.31496062992125984" footer="0.31496062992125984"/>
  <pageSetup paperSize="224" scale="9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30"/>
  <sheetViews>
    <sheetView showGridLines="0" zoomScale="75" workbookViewId="0">
      <selection activeCell="Q1" sqref="Q1"/>
    </sheetView>
  </sheetViews>
  <sheetFormatPr defaultColWidth="11" defaultRowHeight="16.5"/>
  <cols>
    <col min="1" max="1" width="6.875" customWidth="1"/>
    <col min="2" max="16" width="10.625" customWidth="1"/>
    <col min="17" max="17" width="13.125" bestFit="1" customWidth="1"/>
  </cols>
  <sheetData>
    <row r="1" spans="1:17" ht="26.1" customHeight="1">
      <c r="A1" s="373" t="s">
        <v>349</v>
      </c>
      <c r="B1" s="373"/>
      <c r="C1" s="373"/>
      <c r="D1" s="373"/>
      <c r="E1" s="373"/>
      <c r="F1" s="373"/>
      <c r="G1" s="373"/>
      <c r="H1" s="373"/>
      <c r="I1" s="373"/>
      <c r="J1" s="373"/>
      <c r="K1" s="373"/>
      <c r="L1" s="373"/>
      <c r="M1" s="373"/>
      <c r="N1" s="373"/>
      <c r="O1" s="373"/>
      <c r="P1" s="373"/>
      <c r="Q1" s="348" t="s">
        <v>644</v>
      </c>
    </row>
    <row r="2" spans="1:17" ht="20.100000000000001" customHeight="1">
      <c r="A2" s="375"/>
      <c r="B2" s="431" t="s">
        <v>350</v>
      </c>
      <c r="C2" s="431"/>
      <c r="D2" s="431"/>
      <c r="E2" s="431"/>
      <c r="F2" s="431"/>
      <c r="G2" s="431"/>
      <c r="H2" s="431"/>
      <c r="I2" s="431"/>
      <c r="J2" s="431"/>
      <c r="K2" s="431"/>
      <c r="L2" s="431"/>
      <c r="M2" s="432" t="s">
        <v>351</v>
      </c>
      <c r="N2" s="433"/>
      <c r="O2" s="433"/>
      <c r="P2" s="433"/>
    </row>
    <row r="3" spans="1:17" ht="20.100000000000001" customHeight="1">
      <c r="A3" s="376"/>
      <c r="B3" s="431" t="s">
        <v>352</v>
      </c>
      <c r="C3" s="431"/>
      <c r="D3" s="431"/>
      <c r="E3" s="431"/>
      <c r="F3" s="431"/>
      <c r="G3" s="431" t="s">
        <v>353</v>
      </c>
      <c r="H3" s="431"/>
      <c r="I3" s="431"/>
      <c r="J3" s="431" t="s">
        <v>354</v>
      </c>
      <c r="K3" s="431"/>
      <c r="L3" s="436"/>
      <c r="M3" s="434"/>
      <c r="N3" s="435"/>
      <c r="O3" s="435"/>
      <c r="P3" s="435"/>
    </row>
    <row r="4" spans="1:17" ht="20.100000000000001" customHeight="1">
      <c r="A4" s="376"/>
      <c r="B4" s="431" t="s">
        <v>355</v>
      </c>
      <c r="C4" s="431"/>
      <c r="D4" s="431"/>
      <c r="E4" s="437" t="s">
        <v>356</v>
      </c>
      <c r="F4" s="437" t="s">
        <v>357</v>
      </c>
      <c r="G4" s="437" t="s">
        <v>355</v>
      </c>
      <c r="H4" s="437" t="s">
        <v>358</v>
      </c>
      <c r="I4" s="437" t="s">
        <v>359</v>
      </c>
      <c r="J4" s="437" t="s">
        <v>355</v>
      </c>
      <c r="K4" s="437" t="s">
        <v>358</v>
      </c>
      <c r="L4" s="443" t="s">
        <v>359</v>
      </c>
      <c r="M4" s="439" t="s">
        <v>355</v>
      </c>
      <c r="N4" s="431"/>
      <c r="O4" s="431"/>
      <c r="P4" s="437" t="s">
        <v>358</v>
      </c>
    </row>
    <row r="5" spans="1:17" ht="20.100000000000001" customHeight="1">
      <c r="A5" s="376"/>
      <c r="B5" s="107" t="s">
        <v>0</v>
      </c>
      <c r="C5" s="107" t="s">
        <v>98</v>
      </c>
      <c r="D5" s="107" t="s">
        <v>99</v>
      </c>
      <c r="E5" s="438"/>
      <c r="F5" s="438"/>
      <c r="G5" s="438"/>
      <c r="H5" s="438"/>
      <c r="I5" s="438"/>
      <c r="J5" s="438"/>
      <c r="K5" s="438"/>
      <c r="L5" s="444"/>
      <c r="M5" s="109" t="s">
        <v>0</v>
      </c>
      <c r="N5" s="108" t="s">
        <v>98</v>
      </c>
      <c r="O5" s="108" t="s">
        <v>99</v>
      </c>
      <c r="P5" s="438"/>
    </row>
    <row r="6" spans="1:17" ht="21.75" hidden="1" customHeight="1">
      <c r="A6" s="16" t="s">
        <v>360</v>
      </c>
      <c r="B6" s="17">
        <f t="shared" ref="B6:B14" si="0">C6+D6</f>
        <v>11761</v>
      </c>
      <c r="C6" s="17">
        <f>347+9859</f>
        <v>10206</v>
      </c>
      <c r="D6" s="17">
        <f>31+1524</f>
        <v>1555</v>
      </c>
      <c r="E6" s="17">
        <f t="shared" ref="E6" si="1">100-((B$6-B6)/B$6*100)</f>
        <v>100</v>
      </c>
      <c r="F6" s="18">
        <f>SUM(L6,I6)</f>
        <v>100</v>
      </c>
      <c r="G6" s="17">
        <v>11383</v>
      </c>
      <c r="H6" s="17">
        <f t="shared" ref="H6" si="2">100-((G$6-G6)/G$6*100)</f>
        <v>100</v>
      </c>
      <c r="I6" s="18">
        <f>G6/B6*100</f>
        <v>96.785987586089618</v>
      </c>
      <c r="J6" s="17">
        <v>378</v>
      </c>
      <c r="K6" s="17">
        <f t="shared" ref="K6" si="3">100-((J$6-J6)/J$6*100)</f>
        <v>100</v>
      </c>
      <c r="L6" s="110">
        <f t="shared" ref="L6:L14" si="4">J6/B6*100</f>
        <v>3.2140124139103818</v>
      </c>
      <c r="M6" s="111">
        <f t="shared" ref="M6:M14" si="5">SUM(N6,O6)</f>
        <v>2507</v>
      </c>
      <c r="N6" s="112">
        <v>1914</v>
      </c>
      <c r="O6" s="17">
        <v>593</v>
      </c>
      <c r="P6" s="17">
        <f t="shared" ref="P6" si="6">100-((M$6-M6)/M$6*100)</f>
        <v>100</v>
      </c>
    </row>
    <row r="7" spans="1:17" ht="30" customHeight="1">
      <c r="A7" s="16" t="s">
        <v>361</v>
      </c>
      <c r="B7" s="17">
        <f t="shared" si="0"/>
        <v>10762</v>
      </c>
      <c r="C7" s="17">
        <f>348+8961</f>
        <v>9309</v>
      </c>
      <c r="D7" s="17">
        <f>40+1413</f>
        <v>1453</v>
      </c>
      <c r="E7" s="346">
        <f>B7/B$7*100</f>
        <v>100</v>
      </c>
      <c r="F7" s="18">
        <f t="shared" ref="F7:F13" si="7">SUM(L7,I7)</f>
        <v>100</v>
      </c>
      <c r="G7" s="17">
        <v>10374</v>
      </c>
      <c r="H7" s="346">
        <f>G7/G$7*100</f>
        <v>100</v>
      </c>
      <c r="I7" s="18">
        <f t="shared" ref="I7:I14" si="8">G7/B7*100</f>
        <v>96.394722170600261</v>
      </c>
      <c r="J7" s="17">
        <v>388</v>
      </c>
      <c r="K7" s="346">
        <f>J7/J$7*100</f>
        <v>100</v>
      </c>
      <c r="L7" s="110">
        <f t="shared" si="4"/>
        <v>3.6052778293997396</v>
      </c>
      <c r="M7" s="113">
        <f t="shared" si="5"/>
        <v>3302</v>
      </c>
      <c r="N7" s="114">
        <v>2550</v>
      </c>
      <c r="O7" s="115">
        <v>752</v>
      </c>
      <c r="P7" s="346">
        <f>M7/M$7*100</f>
        <v>100</v>
      </c>
    </row>
    <row r="8" spans="1:17" ht="30" customHeight="1">
      <c r="A8" s="16" t="s">
        <v>362</v>
      </c>
      <c r="B8" s="17">
        <f t="shared" si="0"/>
        <v>9768</v>
      </c>
      <c r="C8" s="17">
        <f>376+8144</f>
        <v>8520</v>
      </c>
      <c r="D8" s="17">
        <f>33+1215</f>
        <v>1248</v>
      </c>
      <c r="E8" s="346">
        <f t="shared" ref="E8:E16" si="9">B8/B$7*100</f>
        <v>90.763798550455306</v>
      </c>
      <c r="F8" s="18">
        <f t="shared" si="7"/>
        <v>100.00000000000001</v>
      </c>
      <c r="G8" s="17">
        <v>9359</v>
      </c>
      <c r="H8" s="346">
        <f t="shared" ref="H8:H16" si="10">G8/G$7*100</f>
        <v>90.215924426450741</v>
      </c>
      <c r="I8" s="18">
        <f t="shared" si="8"/>
        <v>95.812858312858324</v>
      </c>
      <c r="J8" s="17">
        <v>409</v>
      </c>
      <c r="K8" s="346">
        <f t="shared" ref="K8:K16" si="11">J8/J$7*100</f>
        <v>105.41237113402062</v>
      </c>
      <c r="L8" s="110">
        <f t="shared" si="4"/>
        <v>4.1871416871416871</v>
      </c>
      <c r="M8" s="113">
        <f t="shared" si="5"/>
        <v>2105</v>
      </c>
      <c r="N8" s="114">
        <v>1547</v>
      </c>
      <c r="O8" s="115">
        <v>558</v>
      </c>
      <c r="P8" s="346">
        <f t="shared" ref="P8:P16" si="12">M8/M$7*100</f>
        <v>63.749242883101154</v>
      </c>
    </row>
    <row r="9" spans="1:17" ht="30" customHeight="1">
      <c r="A9" s="16" t="s">
        <v>363</v>
      </c>
      <c r="B9" s="17">
        <f t="shared" si="0"/>
        <v>8847</v>
      </c>
      <c r="C9" s="17">
        <f>261+7410</f>
        <v>7671</v>
      </c>
      <c r="D9" s="17">
        <f>18+1158</f>
        <v>1176</v>
      </c>
      <c r="E9" s="346">
        <f t="shared" si="9"/>
        <v>82.205909682215207</v>
      </c>
      <c r="F9" s="18">
        <f t="shared" si="7"/>
        <v>99.999999999999986</v>
      </c>
      <c r="G9" s="17">
        <v>8568</v>
      </c>
      <c r="H9" s="346">
        <f t="shared" si="10"/>
        <v>82.591093117408903</v>
      </c>
      <c r="I9" s="18">
        <f t="shared" si="8"/>
        <v>96.846388606307215</v>
      </c>
      <c r="J9" s="17">
        <v>279</v>
      </c>
      <c r="K9" s="346">
        <f t="shared" si="11"/>
        <v>71.907216494845358</v>
      </c>
      <c r="L9" s="110">
        <f t="shared" si="4"/>
        <v>3.1536113936927768</v>
      </c>
      <c r="M9" s="113">
        <f t="shared" si="5"/>
        <v>2076</v>
      </c>
      <c r="N9" s="114">
        <v>1528</v>
      </c>
      <c r="O9" s="115">
        <v>548</v>
      </c>
      <c r="P9" s="346">
        <f t="shared" si="12"/>
        <v>62.870987280436097</v>
      </c>
    </row>
    <row r="10" spans="1:17" ht="30" customHeight="1">
      <c r="A10" s="16" t="s">
        <v>364</v>
      </c>
      <c r="B10" s="17">
        <f t="shared" si="0"/>
        <v>8393</v>
      </c>
      <c r="C10" s="17">
        <f>244+7042</f>
        <v>7286</v>
      </c>
      <c r="D10" s="17">
        <f>17+1090</f>
        <v>1107</v>
      </c>
      <c r="E10" s="346">
        <f t="shared" si="9"/>
        <v>77.987362943690769</v>
      </c>
      <c r="F10" s="18">
        <f t="shared" si="7"/>
        <v>100</v>
      </c>
      <c r="G10" s="17">
        <v>8132</v>
      </c>
      <c r="H10" s="346">
        <f t="shared" si="10"/>
        <v>78.388278388278394</v>
      </c>
      <c r="I10" s="18">
        <f t="shared" si="8"/>
        <v>96.890265697605145</v>
      </c>
      <c r="J10" s="17">
        <v>261</v>
      </c>
      <c r="K10" s="346">
        <f t="shared" si="11"/>
        <v>67.268041237113408</v>
      </c>
      <c r="L10" s="110">
        <f t="shared" si="4"/>
        <v>3.1097343023948532</v>
      </c>
      <c r="M10" s="113">
        <f t="shared" si="5"/>
        <v>1386</v>
      </c>
      <c r="N10" s="114">
        <v>1000</v>
      </c>
      <c r="O10" s="115">
        <v>386</v>
      </c>
      <c r="P10" s="346">
        <f t="shared" si="12"/>
        <v>41.974560872198666</v>
      </c>
    </row>
    <row r="11" spans="1:17" ht="30" customHeight="1">
      <c r="A11" s="16" t="s">
        <v>365</v>
      </c>
      <c r="B11" s="17">
        <f t="shared" si="0"/>
        <v>8741</v>
      </c>
      <c r="C11" s="17">
        <f>270+7351</f>
        <v>7621</v>
      </c>
      <c r="D11" s="17">
        <f>23+1097</f>
        <v>1120</v>
      </c>
      <c r="E11" s="346">
        <f t="shared" si="9"/>
        <v>81.220962646348255</v>
      </c>
      <c r="F11" s="18">
        <f t="shared" si="7"/>
        <v>100</v>
      </c>
      <c r="G11" s="17">
        <v>8448</v>
      </c>
      <c r="H11" s="346">
        <f t="shared" si="10"/>
        <v>81.434355118565648</v>
      </c>
      <c r="I11" s="18">
        <f t="shared" si="8"/>
        <v>96.647980780231094</v>
      </c>
      <c r="J11" s="17">
        <v>293</v>
      </c>
      <c r="K11" s="346">
        <f t="shared" si="11"/>
        <v>75.515463917525778</v>
      </c>
      <c r="L11" s="110">
        <f t="shared" si="4"/>
        <v>3.3520192197689052</v>
      </c>
      <c r="M11" s="113">
        <f t="shared" si="5"/>
        <v>835</v>
      </c>
      <c r="N11" s="114">
        <v>596</v>
      </c>
      <c r="O11" s="115">
        <v>239</v>
      </c>
      <c r="P11" s="346">
        <f t="shared" si="12"/>
        <v>25.28770442156269</v>
      </c>
    </row>
    <row r="12" spans="1:17" ht="30" customHeight="1">
      <c r="A12" s="16" t="s">
        <v>366</v>
      </c>
      <c r="B12" s="17">
        <f t="shared" si="0"/>
        <v>8269</v>
      </c>
      <c r="C12" s="17">
        <f>300+6907</f>
        <v>7207</v>
      </c>
      <c r="D12" s="17">
        <f>25+1037</f>
        <v>1062</v>
      </c>
      <c r="E12" s="346">
        <f t="shared" si="9"/>
        <v>76.835160750789825</v>
      </c>
      <c r="F12" s="18">
        <f t="shared" si="7"/>
        <v>99.999999999999986</v>
      </c>
      <c r="G12" s="17">
        <v>7944</v>
      </c>
      <c r="H12" s="346">
        <f t="shared" si="10"/>
        <v>76.576055523423946</v>
      </c>
      <c r="I12" s="18">
        <f t="shared" si="8"/>
        <v>96.069657757890909</v>
      </c>
      <c r="J12" s="17">
        <v>325</v>
      </c>
      <c r="K12" s="346">
        <f t="shared" si="11"/>
        <v>83.762886597938149</v>
      </c>
      <c r="L12" s="110">
        <f t="shared" si="4"/>
        <v>3.9303422421090821</v>
      </c>
      <c r="M12" s="113">
        <f t="shared" si="5"/>
        <v>675</v>
      </c>
      <c r="N12" s="114">
        <v>468</v>
      </c>
      <c r="O12" s="115">
        <v>207</v>
      </c>
      <c r="P12" s="346">
        <f t="shared" si="12"/>
        <v>20.442156268927921</v>
      </c>
    </row>
    <row r="13" spans="1:17" ht="30" customHeight="1">
      <c r="A13" s="16" t="s">
        <v>367</v>
      </c>
      <c r="B13" s="17">
        <f t="shared" si="0"/>
        <v>8065</v>
      </c>
      <c r="C13" s="17">
        <f>210+6803</f>
        <v>7013</v>
      </c>
      <c r="D13" s="17">
        <f>26+1026</f>
        <v>1052</v>
      </c>
      <c r="E13" s="346">
        <f t="shared" si="9"/>
        <v>74.939602304404389</v>
      </c>
      <c r="F13" s="18">
        <f t="shared" si="7"/>
        <v>100</v>
      </c>
      <c r="G13" s="17">
        <v>7829</v>
      </c>
      <c r="H13" s="346">
        <f t="shared" si="10"/>
        <v>75.467514941199155</v>
      </c>
      <c r="I13" s="18">
        <f t="shared" si="8"/>
        <v>97.073775573465596</v>
      </c>
      <c r="J13" s="17">
        <v>236</v>
      </c>
      <c r="K13" s="346">
        <f t="shared" si="11"/>
        <v>60.824742268041234</v>
      </c>
      <c r="L13" s="110">
        <f t="shared" si="4"/>
        <v>2.9262244265344082</v>
      </c>
      <c r="M13" s="113">
        <f t="shared" si="5"/>
        <v>638</v>
      </c>
      <c r="N13" s="114">
        <v>502</v>
      </c>
      <c r="O13" s="115">
        <v>136</v>
      </c>
      <c r="P13" s="346">
        <f t="shared" si="12"/>
        <v>19.321623258631131</v>
      </c>
    </row>
    <row r="14" spans="1:17" ht="30" customHeight="1">
      <c r="A14" s="16" t="s">
        <v>368</v>
      </c>
      <c r="B14" s="17">
        <f t="shared" si="0"/>
        <v>9066</v>
      </c>
      <c r="C14" s="17">
        <f>7009+602+284</f>
        <v>7895</v>
      </c>
      <c r="D14" s="17">
        <f>1005+149+17</f>
        <v>1171</v>
      </c>
      <c r="E14" s="346">
        <f t="shared" si="9"/>
        <v>84.24084742612898</v>
      </c>
      <c r="F14" s="18">
        <f>SUM(L14,I14)</f>
        <v>100</v>
      </c>
      <c r="G14" s="17">
        <v>8765</v>
      </c>
      <c r="H14" s="346">
        <f t="shared" si="10"/>
        <v>84.490071332176598</v>
      </c>
      <c r="I14" s="18">
        <f t="shared" si="8"/>
        <v>96.679902934039262</v>
      </c>
      <c r="J14" s="17">
        <v>301</v>
      </c>
      <c r="K14" s="346">
        <f t="shared" si="11"/>
        <v>77.577319587628864</v>
      </c>
      <c r="L14" s="110">
        <f t="shared" si="4"/>
        <v>3.3200970659607325</v>
      </c>
      <c r="M14" s="113">
        <f t="shared" si="5"/>
        <v>544</v>
      </c>
      <c r="N14" s="114">
        <v>442</v>
      </c>
      <c r="O14" s="115">
        <v>102</v>
      </c>
      <c r="P14" s="346">
        <f t="shared" si="12"/>
        <v>16.474863718958208</v>
      </c>
    </row>
    <row r="15" spans="1:17" ht="30" customHeight="1">
      <c r="A15" s="16" t="s">
        <v>57</v>
      </c>
      <c r="B15" s="17">
        <v>8471</v>
      </c>
      <c r="C15" s="17">
        <v>7356</v>
      </c>
      <c r="D15" s="17">
        <v>1115</v>
      </c>
      <c r="E15" s="346">
        <f t="shared" si="9"/>
        <v>78.712135290838134</v>
      </c>
      <c r="F15" s="18">
        <f>SUM(L15,I15)</f>
        <v>99.998256404202579</v>
      </c>
      <c r="G15" s="17">
        <v>8121</v>
      </c>
      <c r="H15" s="346">
        <f t="shared" si="10"/>
        <v>78.282244071717756</v>
      </c>
      <c r="I15" s="18">
        <f>G15/B15*100</f>
        <v>95.868256404202583</v>
      </c>
      <c r="J15" s="17">
        <v>350</v>
      </c>
      <c r="K15" s="346">
        <f t="shared" si="11"/>
        <v>90.206185567010309</v>
      </c>
      <c r="L15" s="110">
        <v>4.13</v>
      </c>
      <c r="M15" s="115">
        <v>387</v>
      </c>
      <c r="N15" s="114">
        <v>302</v>
      </c>
      <c r="O15" s="115">
        <v>85</v>
      </c>
      <c r="P15" s="346">
        <f t="shared" si="12"/>
        <v>11.720169594185343</v>
      </c>
    </row>
    <row r="16" spans="1:17" ht="30" customHeight="1">
      <c r="A16" s="16" t="s">
        <v>369</v>
      </c>
      <c r="B16" s="17">
        <f>G16+J16</f>
        <v>9368</v>
      </c>
      <c r="C16" s="17">
        <f>7068+712+354</f>
        <v>8134</v>
      </c>
      <c r="D16" s="17">
        <f>1010+197+27</f>
        <v>1234</v>
      </c>
      <c r="E16" s="346">
        <f t="shared" si="9"/>
        <v>87.047017283032886</v>
      </c>
      <c r="F16" s="18">
        <f>SUM(L16,I16)</f>
        <v>100</v>
      </c>
      <c r="G16" s="17">
        <v>8987</v>
      </c>
      <c r="H16" s="346">
        <f t="shared" si="10"/>
        <v>86.630036630036628</v>
      </c>
      <c r="I16" s="18">
        <f>G16/B16*100</f>
        <v>95.932963279248511</v>
      </c>
      <c r="J16" s="17">
        <v>381</v>
      </c>
      <c r="K16" s="346">
        <f t="shared" si="11"/>
        <v>98.19587628865979</v>
      </c>
      <c r="L16" s="110">
        <f>J16/B16*100</f>
        <v>4.0670367207514939</v>
      </c>
      <c r="M16" s="115">
        <v>349</v>
      </c>
      <c r="N16" s="114">
        <v>295</v>
      </c>
      <c r="O16" s="115">
        <v>54</v>
      </c>
      <c r="P16" s="346">
        <f t="shared" si="12"/>
        <v>10.569351907934585</v>
      </c>
    </row>
    <row r="17" spans="1:16" ht="15.95" customHeight="1">
      <c r="A17" s="440" t="s">
        <v>370</v>
      </c>
      <c r="B17" s="440"/>
      <c r="C17" s="440"/>
      <c r="D17" s="440"/>
      <c r="E17" s="440"/>
      <c r="F17" s="440"/>
      <c r="G17" s="440"/>
      <c r="H17" s="440"/>
      <c r="I17" s="440"/>
      <c r="J17" s="440"/>
      <c r="K17" s="440"/>
      <c r="L17" s="440"/>
      <c r="M17" s="440"/>
      <c r="N17" s="440"/>
      <c r="O17" s="440"/>
      <c r="P17" s="440"/>
    </row>
    <row r="18" spans="1:16" ht="60" customHeight="1">
      <c r="A18" s="441" t="s">
        <v>615</v>
      </c>
      <c r="B18" s="442"/>
      <c r="C18" s="442"/>
      <c r="D18" s="442"/>
      <c r="E18" s="442"/>
      <c r="F18" s="442"/>
      <c r="G18" s="442"/>
      <c r="H18" s="442"/>
      <c r="I18" s="442"/>
      <c r="J18" s="442"/>
      <c r="K18" s="442"/>
      <c r="L18" s="442"/>
      <c r="M18" s="442"/>
      <c r="N18" s="442"/>
      <c r="O18" s="442"/>
      <c r="P18" s="442"/>
    </row>
    <row r="21" spans="1:16">
      <c r="E21" s="345"/>
      <c r="H21" s="345"/>
      <c r="K21" s="345"/>
    </row>
    <row r="22" spans="1:16">
      <c r="E22" s="345"/>
      <c r="H22" s="345"/>
      <c r="K22" s="345"/>
    </row>
    <row r="23" spans="1:16">
      <c r="E23" s="345"/>
      <c r="H23" s="345"/>
      <c r="K23" s="345"/>
    </row>
    <row r="24" spans="1:16">
      <c r="E24" s="345"/>
      <c r="H24" s="345"/>
      <c r="K24" s="345"/>
    </row>
    <row r="25" spans="1:16">
      <c r="E25" s="345"/>
      <c r="H25" s="345"/>
      <c r="K25" s="345"/>
    </row>
    <row r="26" spans="1:16">
      <c r="E26" s="345"/>
      <c r="H26" s="345"/>
      <c r="K26" s="345"/>
    </row>
    <row r="27" spans="1:16">
      <c r="E27" s="345"/>
      <c r="H27" s="345"/>
      <c r="K27" s="345"/>
    </row>
    <row r="28" spans="1:16">
      <c r="E28" s="345"/>
      <c r="H28" s="345"/>
      <c r="K28" s="345"/>
    </row>
    <row r="29" spans="1:16">
      <c r="E29" s="345"/>
      <c r="H29" s="345"/>
      <c r="K29" s="345"/>
    </row>
    <row r="30" spans="1:16">
      <c r="E30" s="345"/>
      <c r="H30" s="345"/>
      <c r="K30" s="345"/>
    </row>
  </sheetData>
  <mergeCells count="20">
    <mergeCell ref="A17:P17"/>
    <mergeCell ref="A18:P18"/>
    <mergeCell ref="G4:G5"/>
    <mergeCell ref="H4:H5"/>
    <mergeCell ref="I4:I5"/>
    <mergeCell ref="J4:J5"/>
    <mergeCell ref="K4:K5"/>
    <mergeCell ref="L4:L5"/>
    <mergeCell ref="A1:P1"/>
    <mergeCell ref="A2:A5"/>
    <mergeCell ref="B2:L2"/>
    <mergeCell ref="M2:P3"/>
    <mergeCell ref="B3:F3"/>
    <mergeCell ref="G3:I3"/>
    <mergeCell ref="J3:L3"/>
    <mergeCell ref="B4:D4"/>
    <mergeCell ref="E4:E5"/>
    <mergeCell ref="F4:F5"/>
    <mergeCell ref="M4:O4"/>
    <mergeCell ref="P4:P5"/>
  </mergeCells>
  <phoneticPr fontId="2" type="noConversion"/>
  <hyperlinks>
    <hyperlink ref="Q1" location="本篇表次!A1" display="回本篇表次"/>
  </hyperlinks>
  <printOptions horizontalCentered="1" verticalCentered="1"/>
  <pageMargins left="0.70866141732283472" right="0.70866141732283472" top="0.74803149606299213" bottom="0.74803149606299213" header="0.31496062992125984" footer="0.31496062992125984"/>
  <pageSetup paperSize="224" scale="5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76"/>
  <sheetViews>
    <sheetView showGridLines="0" zoomScale="90" workbookViewId="0">
      <pane xSplit="1" topLeftCell="D1" activePane="topRight" state="frozen"/>
      <selection pane="topRight" activeCell="X1" sqref="X1"/>
    </sheetView>
  </sheetViews>
  <sheetFormatPr defaultColWidth="11" defaultRowHeight="16.5"/>
  <cols>
    <col min="1" max="1" width="25.625" customWidth="1"/>
    <col min="2" max="3" width="8.625" hidden="1" customWidth="1"/>
    <col min="4" max="23" width="8.625" customWidth="1"/>
    <col min="24" max="24" width="12.625" bestFit="1" customWidth="1"/>
  </cols>
  <sheetData>
    <row r="1" spans="1:24" ht="24" customHeight="1">
      <c r="A1" s="445" t="s">
        <v>281</v>
      </c>
      <c r="B1" s="445"/>
      <c r="C1" s="445"/>
      <c r="D1" s="445"/>
      <c r="E1" s="445"/>
      <c r="F1" s="445"/>
      <c r="G1" s="445"/>
      <c r="H1" s="445"/>
      <c r="I1" s="445"/>
      <c r="J1" s="445"/>
      <c r="K1" s="445"/>
      <c r="L1" s="445"/>
      <c r="M1" s="445"/>
      <c r="N1" s="445"/>
      <c r="O1" s="445"/>
      <c r="P1" s="445"/>
      <c r="Q1" s="445"/>
      <c r="R1" s="445"/>
      <c r="S1" s="445"/>
      <c r="T1" s="445"/>
      <c r="U1" s="445"/>
      <c r="V1" s="445"/>
      <c r="W1" s="445"/>
      <c r="X1" s="348" t="s">
        <v>644</v>
      </c>
    </row>
    <row r="2" spans="1:24" ht="15.95" customHeight="1">
      <c r="A2" s="19"/>
      <c r="B2" s="378" t="s">
        <v>282</v>
      </c>
      <c r="C2" s="378"/>
      <c r="D2" s="378" t="s">
        <v>49</v>
      </c>
      <c r="E2" s="378"/>
      <c r="F2" s="378" t="s">
        <v>50</v>
      </c>
      <c r="G2" s="378"/>
      <c r="H2" s="378" t="s">
        <v>51</v>
      </c>
      <c r="I2" s="378"/>
      <c r="J2" s="378" t="s">
        <v>52</v>
      </c>
      <c r="K2" s="378"/>
      <c r="L2" s="378" t="s">
        <v>53</v>
      </c>
      <c r="M2" s="378"/>
      <c r="N2" s="378" t="s">
        <v>54</v>
      </c>
      <c r="O2" s="378"/>
      <c r="P2" s="378" t="s">
        <v>55</v>
      </c>
      <c r="Q2" s="378"/>
      <c r="R2" s="378" t="s">
        <v>56</v>
      </c>
      <c r="S2" s="378"/>
      <c r="T2" s="378" t="s">
        <v>123</v>
      </c>
      <c r="U2" s="378"/>
      <c r="V2" s="378" t="s">
        <v>58</v>
      </c>
      <c r="W2" s="378"/>
    </row>
    <row r="3" spans="1:24" ht="15" customHeight="1">
      <c r="A3" s="5"/>
      <c r="B3" s="10" t="s">
        <v>122</v>
      </c>
      <c r="C3" s="10" t="s">
        <v>106</v>
      </c>
      <c r="D3" s="10" t="s">
        <v>122</v>
      </c>
      <c r="E3" s="10" t="s">
        <v>106</v>
      </c>
      <c r="F3" s="10" t="s">
        <v>122</v>
      </c>
      <c r="G3" s="10" t="s">
        <v>106</v>
      </c>
      <c r="H3" s="10" t="s">
        <v>122</v>
      </c>
      <c r="I3" s="10" t="s">
        <v>106</v>
      </c>
      <c r="J3" s="10" t="s">
        <v>122</v>
      </c>
      <c r="K3" s="10" t="s">
        <v>106</v>
      </c>
      <c r="L3" s="10" t="s">
        <v>122</v>
      </c>
      <c r="M3" s="10" t="s">
        <v>106</v>
      </c>
      <c r="N3" s="10" t="s">
        <v>122</v>
      </c>
      <c r="O3" s="10" t="s">
        <v>106</v>
      </c>
      <c r="P3" s="10" t="s">
        <v>122</v>
      </c>
      <c r="Q3" s="10" t="s">
        <v>106</v>
      </c>
      <c r="R3" s="10" t="s">
        <v>122</v>
      </c>
      <c r="S3" s="10" t="s">
        <v>106</v>
      </c>
      <c r="T3" s="10" t="s">
        <v>122</v>
      </c>
      <c r="U3" s="10" t="s">
        <v>106</v>
      </c>
      <c r="V3" s="20" t="s">
        <v>122</v>
      </c>
      <c r="W3" s="10" t="s">
        <v>106</v>
      </c>
    </row>
    <row r="4" spans="1:24" ht="20.100000000000001" customHeight="1">
      <c r="A4" s="27" t="s">
        <v>65</v>
      </c>
      <c r="B4" s="32">
        <f t="shared" ref="B4:W4" si="0">SUM(B5:B73)</f>
        <v>11383</v>
      </c>
      <c r="C4" s="100">
        <f t="shared" si="0"/>
        <v>100.00000000000007</v>
      </c>
      <c r="D4" s="32">
        <f t="shared" si="0"/>
        <v>10374</v>
      </c>
      <c r="E4" s="100">
        <f t="shared" si="0"/>
        <v>100</v>
      </c>
      <c r="F4" s="32">
        <f t="shared" si="0"/>
        <v>9359</v>
      </c>
      <c r="G4" s="100">
        <f t="shared" si="0"/>
        <v>100.00000000000017</v>
      </c>
      <c r="H4" s="32">
        <f t="shared" si="0"/>
        <v>8568</v>
      </c>
      <c r="I4" s="100">
        <f t="shared" si="0"/>
        <v>99.999999999999943</v>
      </c>
      <c r="J4" s="32">
        <f t="shared" si="0"/>
        <v>8132</v>
      </c>
      <c r="K4" s="100">
        <f t="shared" si="0"/>
        <v>100.00000000000001</v>
      </c>
      <c r="L4" s="32">
        <f t="shared" si="0"/>
        <v>8448</v>
      </c>
      <c r="M4" s="100">
        <f t="shared" si="0"/>
        <v>100.00000000000006</v>
      </c>
      <c r="N4" s="32">
        <f t="shared" si="0"/>
        <v>7944</v>
      </c>
      <c r="O4" s="100">
        <f t="shared" si="0"/>
        <v>100.00000000000003</v>
      </c>
      <c r="P4" s="32">
        <f t="shared" si="0"/>
        <v>7829</v>
      </c>
      <c r="Q4" s="100">
        <f t="shared" si="0"/>
        <v>100.00000000000001</v>
      </c>
      <c r="R4" s="32">
        <f t="shared" si="0"/>
        <v>8765</v>
      </c>
      <c r="S4" s="100">
        <f t="shared" si="0"/>
        <v>100.00000000000001</v>
      </c>
      <c r="T4" s="32">
        <f t="shared" si="0"/>
        <v>8121</v>
      </c>
      <c r="U4" s="100">
        <f t="shared" si="0"/>
        <v>99.999999999999957</v>
      </c>
      <c r="V4" s="17">
        <f t="shared" si="0"/>
        <v>8987</v>
      </c>
      <c r="W4" s="67">
        <f t="shared" si="0"/>
        <v>99.999999999999972</v>
      </c>
    </row>
    <row r="5" spans="1:24" ht="20.100000000000001" customHeight="1">
      <c r="A5" s="27" t="s">
        <v>283</v>
      </c>
      <c r="B5" s="6">
        <f>2976+348</f>
        <v>3324</v>
      </c>
      <c r="C5" s="101">
        <f t="shared" ref="C5:C36" si="1">IFERROR(B5/B$4*100,"-")</f>
        <v>29.201440744970569</v>
      </c>
      <c r="D5" s="6">
        <f>2344+290</f>
        <v>2634</v>
      </c>
      <c r="E5" s="101">
        <f t="shared" ref="E5:E36" si="2">IFERROR(D5/D$4*100,"-")</f>
        <v>25.390399074609597</v>
      </c>
      <c r="F5" s="6">
        <f>2110+239</f>
        <v>2349</v>
      </c>
      <c r="G5" s="101">
        <f t="shared" ref="G5:G36" si="3">IFERROR(F5/F$4*100,"-")</f>
        <v>25.098835345656589</v>
      </c>
      <c r="H5" s="6">
        <f>1829+205</f>
        <v>2034</v>
      </c>
      <c r="I5" s="101">
        <f t="shared" ref="I5:I36" si="4">IFERROR(H5/H$4*100,"-")</f>
        <v>23.739495798319325</v>
      </c>
      <c r="J5" s="6">
        <f>1801+203</f>
        <v>2004</v>
      </c>
      <c r="K5" s="101">
        <f t="shared" ref="K5:K36" si="5">IFERROR(J5/J$4*100,"-")</f>
        <v>24.643384161337924</v>
      </c>
      <c r="L5" s="6">
        <f>1893+218</f>
        <v>2111</v>
      </c>
      <c r="M5" s="101">
        <f t="shared" ref="M5:M36" si="6">IFERROR(L5/L$4*100,"-")</f>
        <v>24.988162878787879</v>
      </c>
      <c r="N5" s="6">
        <f>1893+193</f>
        <v>2086</v>
      </c>
      <c r="O5" s="101">
        <f t="shared" ref="O5:O36" si="7">IFERROR(N5/N$4*100,"-")</f>
        <v>26.258811681772411</v>
      </c>
      <c r="P5" s="6">
        <f>2020+205</f>
        <v>2225</v>
      </c>
      <c r="Q5" s="101">
        <f t="shared" ref="Q5:Q36" si="8">IFERROR(P5/P$4*100,"-")</f>
        <v>28.419977008557929</v>
      </c>
      <c r="R5" s="6">
        <f>2235+232</f>
        <v>2467</v>
      </c>
      <c r="S5" s="101">
        <f t="shared" ref="S5:S36" si="9">IFERROR(R5/R$4*100,"-")</f>
        <v>28.146035367940677</v>
      </c>
      <c r="T5" s="6">
        <v>1780</v>
      </c>
      <c r="U5" s="101">
        <f t="shared" ref="U5:U36" si="10">IFERROR(T5/T$4*100,"-")</f>
        <v>21.918482945450069</v>
      </c>
      <c r="V5" s="17">
        <f>1663+193</f>
        <v>1856</v>
      </c>
      <c r="W5" s="67">
        <f t="shared" ref="W5:W52" si="11">IFERROR(V5/V$4*100,"-")</f>
        <v>20.652052965394457</v>
      </c>
    </row>
    <row r="6" spans="1:24" ht="20.100000000000001" customHeight="1">
      <c r="A6" s="27" t="s">
        <v>284</v>
      </c>
      <c r="B6" s="6">
        <f>312+68</f>
        <v>380</v>
      </c>
      <c r="C6" s="101">
        <f t="shared" si="1"/>
        <v>3.3383115171747342</v>
      </c>
      <c r="D6" s="6">
        <f>318+74</f>
        <v>392</v>
      </c>
      <c r="E6" s="101">
        <f t="shared" si="2"/>
        <v>3.7786774628879893</v>
      </c>
      <c r="F6" s="6">
        <f>228+55</f>
        <v>283</v>
      </c>
      <c r="G6" s="101">
        <f t="shared" si="3"/>
        <v>3.0238273319799123</v>
      </c>
      <c r="H6" s="6">
        <f>339+85</f>
        <v>424</v>
      </c>
      <c r="I6" s="101">
        <f t="shared" si="4"/>
        <v>4.9486461251167135</v>
      </c>
      <c r="J6" s="6">
        <f>515+99</f>
        <v>614</v>
      </c>
      <c r="K6" s="101">
        <f t="shared" si="5"/>
        <v>7.5504181013280869</v>
      </c>
      <c r="L6" s="6">
        <f>879+137</f>
        <v>1016</v>
      </c>
      <c r="M6" s="101">
        <f t="shared" si="6"/>
        <v>12.026515151515152</v>
      </c>
      <c r="N6" s="6">
        <f>929+185</f>
        <v>1114</v>
      </c>
      <c r="O6" s="101">
        <f t="shared" si="7"/>
        <v>14.023162134944611</v>
      </c>
      <c r="P6" s="6">
        <f>884+194</f>
        <v>1078</v>
      </c>
      <c r="Q6" s="101">
        <f t="shared" si="8"/>
        <v>13.769319197854132</v>
      </c>
      <c r="R6" s="6">
        <f>929+219</f>
        <v>1148</v>
      </c>
      <c r="S6" s="101">
        <f t="shared" si="9"/>
        <v>13.097547062179121</v>
      </c>
      <c r="T6" s="6">
        <v>1256</v>
      </c>
      <c r="U6" s="101">
        <f t="shared" si="10"/>
        <v>15.466075606452407</v>
      </c>
      <c r="V6" s="17">
        <f>1107+241</f>
        <v>1348</v>
      </c>
      <c r="W6" s="67">
        <f t="shared" si="11"/>
        <v>14.99944364081451</v>
      </c>
    </row>
    <row r="7" spans="1:24" ht="20.100000000000001" customHeight="1">
      <c r="A7" s="27" t="s">
        <v>286</v>
      </c>
      <c r="B7" s="6">
        <f>22+1</f>
        <v>23</v>
      </c>
      <c r="C7" s="101">
        <f t="shared" si="1"/>
        <v>0.20205569709215496</v>
      </c>
      <c r="D7" s="6">
        <f>2+0</f>
        <v>2</v>
      </c>
      <c r="E7" s="101">
        <f t="shared" si="2"/>
        <v>1.9278966647387701E-2</v>
      </c>
      <c r="F7" s="6">
        <f>11+0</f>
        <v>11</v>
      </c>
      <c r="G7" s="101">
        <f t="shared" si="3"/>
        <v>0.11753392456459023</v>
      </c>
      <c r="H7" s="6">
        <f>5+1</f>
        <v>6</v>
      </c>
      <c r="I7" s="101">
        <f t="shared" si="4"/>
        <v>7.0028011204481794E-2</v>
      </c>
      <c r="J7" s="6">
        <f>3+1</f>
        <v>4</v>
      </c>
      <c r="K7" s="101">
        <f t="shared" si="5"/>
        <v>4.918839153959665E-2</v>
      </c>
      <c r="L7" s="6">
        <f>13+4</f>
        <v>17</v>
      </c>
      <c r="M7" s="101">
        <f t="shared" si="6"/>
        <v>0.20123106060606061</v>
      </c>
      <c r="N7" s="6">
        <f>29+0</f>
        <v>29</v>
      </c>
      <c r="O7" s="101">
        <f t="shared" si="7"/>
        <v>0.36505538771399798</v>
      </c>
      <c r="P7" s="6">
        <f>26+0</f>
        <v>26</v>
      </c>
      <c r="Q7" s="101">
        <f t="shared" si="8"/>
        <v>0.33209860774045219</v>
      </c>
      <c r="R7" s="6">
        <f>373+31</f>
        <v>404</v>
      </c>
      <c r="S7" s="101">
        <f t="shared" si="9"/>
        <v>4.6092413006274962</v>
      </c>
      <c r="T7" s="6">
        <v>952</v>
      </c>
      <c r="U7" s="101">
        <f t="shared" si="10"/>
        <v>11.722694249476666</v>
      </c>
      <c r="V7" s="17">
        <f>1226+107</f>
        <v>1333</v>
      </c>
      <c r="W7" s="67">
        <f t="shared" si="11"/>
        <v>14.832535885167463</v>
      </c>
    </row>
    <row r="8" spans="1:24" ht="20.100000000000001" customHeight="1">
      <c r="A8" s="27" t="s">
        <v>285</v>
      </c>
      <c r="B8" s="6">
        <f>2640+370</f>
        <v>3010</v>
      </c>
      <c r="C8" s="101">
        <f t="shared" si="1"/>
        <v>26.442941228147237</v>
      </c>
      <c r="D8" s="6">
        <f>2264+322</f>
        <v>2586</v>
      </c>
      <c r="E8" s="101">
        <f t="shared" si="2"/>
        <v>24.927703875072297</v>
      </c>
      <c r="F8" s="6">
        <f>1956+318</f>
        <v>2274</v>
      </c>
      <c r="G8" s="101">
        <f t="shared" si="3"/>
        <v>24.297467678170744</v>
      </c>
      <c r="H8" s="6">
        <f>1648+260</f>
        <v>1908</v>
      </c>
      <c r="I8" s="101">
        <f t="shared" si="4"/>
        <v>22.268907563025213</v>
      </c>
      <c r="J8" s="6">
        <f>1369+176</f>
        <v>1545</v>
      </c>
      <c r="K8" s="101">
        <f t="shared" si="5"/>
        <v>18.999016232169208</v>
      </c>
      <c r="L8" s="6">
        <f>1224+147</f>
        <v>1371</v>
      </c>
      <c r="M8" s="101">
        <f t="shared" si="6"/>
        <v>16.228693181818183</v>
      </c>
      <c r="N8" s="6">
        <f>1073+161</f>
        <v>1234</v>
      </c>
      <c r="O8" s="101">
        <f t="shared" si="7"/>
        <v>15.533736153071501</v>
      </c>
      <c r="P8" s="6">
        <f>1048+176</f>
        <v>1224</v>
      </c>
      <c r="Q8" s="101">
        <f t="shared" si="8"/>
        <v>15.634180610550516</v>
      </c>
      <c r="R8" s="6">
        <f>1100+178</f>
        <v>1278</v>
      </c>
      <c r="S8" s="101">
        <f t="shared" si="9"/>
        <v>14.580718767826584</v>
      </c>
      <c r="T8" s="6">
        <v>1008</v>
      </c>
      <c r="U8" s="101">
        <f t="shared" si="10"/>
        <v>12.412264499445881</v>
      </c>
      <c r="V8" s="17">
        <f>755+166</f>
        <v>921</v>
      </c>
      <c r="W8" s="67">
        <f t="shared" si="11"/>
        <v>10.248136196728607</v>
      </c>
    </row>
    <row r="9" spans="1:24" ht="20.100000000000001" customHeight="1">
      <c r="A9" s="27" t="s">
        <v>287</v>
      </c>
      <c r="B9" s="6">
        <f>815+56</f>
        <v>871</v>
      </c>
      <c r="C9" s="101">
        <f t="shared" si="1"/>
        <v>7.6517613985768254</v>
      </c>
      <c r="D9" s="6">
        <f>874+67</f>
        <v>941</v>
      </c>
      <c r="E9" s="101">
        <f t="shared" si="2"/>
        <v>9.0707538075959135</v>
      </c>
      <c r="F9" s="6">
        <f>787+54</f>
        <v>841</v>
      </c>
      <c r="G9" s="101">
        <f t="shared" si="3"/>
        <v>8.9860027780745817</v>
      </c>
      <c r="H9" s="6">
        <f>781+50</f>
        <v>831</v>
      </c>
      <c r="I9" s="101">
        <f t="shared" si="4"/>
        <v>9.6988795518207294</v>
      </c>
      <c r="J9" s="6">
        <f>729+64</f>
        <v>793</v>
      </c>
      <c r="K9" s="101">
        <f t="shared" si="5"/>
        <v>9.7515986227250373</v>
      </c>
      <c r="L9" s="6">
        <f>627+53</f>
        <v>680</v>
      </c>
      <c r="M9" s="101">
        <f t="shared" si="6"/>
        <v>8.0492424242424239</v>
      </c>
      <c r="N9" s="6">
        <f>590+42</f>
        <v>632</v>
      </c>
      <c r="O9" s="101">
        <f t="shared" si="7"/>
        <v>7.9556898288016109</v>
      </c>
      <c r="P9" s="6">
        <f>632+52</f>
        <v>684</v>
      </c>
      <c r="Q9" s="101">
        <f t="shared" si="8"/>
        <v>8.736747988248819</v>
      </c>
      <c r="R9" s="6">
        <f>704+69</f>
        <v>773</v>
      </c>
      <c r="S9" s="101">
        <f t="shared" si="9"/>
        <v>8.8191671420422129</v>
      </c>
      <c r="T9" s="6">
        <v>772</v>
      </c>
      <c r="U9" s="101">
        <f t="shared" si="10"/>
        <v>9.506218446004187</v>
      </c>
      <c r="V9" s="17">
        <f>707+66</f>
        <v>773</v>
      </c>
      <c r="W9" s="67">
        <f t="shared" si="11"/>
        <v>8.6013130076777564</v>
      </c>
    </row>
    <row r="10" spans="1:24" ht="20.100000000000001" customHeight="1">
      <c r="A10" s="105" t="s">
        <v>290</v>
      </c>
      <c r="B10" s="6">
        <f>25+41</f>
        <v>66</v>
      </c>
      <c r="C10" s="101">
        <f t="shared" si="1"/>
        <v>0.57981200035140124</v>
      </c>
      <c r="D10" s="6">
        <f>27+36</f>
        <v>63</v>
      </c>
      <c r="E10" s="101">
        <f t="shared" si="2"/>
        <v>0.60728744939271251</v>
      </c>
      <c r="F10" s="6">
        <f>44+36</f>
        <v>80</v>
      </c>
      <c r="G10" s="101">
        <f t="shared" si="3"/>
        <v>0.85479217865156532</v>
      </c>
      <c r="H10" s="6">
        <f>34+24</f>
        <v>58</v>
      </c>
      <c r="I10" s="101">
        <f t="shared" si="4"/>
        <v>0.67693744164332403</v>
      </c>
      <c r="J10" s="6">
        <f>55+41</f>
        <v>96</v>
      </c>
      <c r="K10" s="101">
        <f t="shared" si="5"/>
        <v>1.1805213969503197</v>
      </c>
      <c r="L10" s="6">
        <f>150+64</f>
        <v>214</v>
      </c>
      <c r="M10" s="101">
        <f t="shared" si="6"/>
        <v>2.5331439393939394</v>
      </c>
      <c r="N10" s="6">
        <f>120+47</f>
        <v>167</v>
      </c>
      <c r="O10" s="101">
        <f t="shared" si="7"/>
        <v>2.1022155085599197</v>
      </c>
      <c r="P10" s="6">
        <f>156+58</f>
        <v>214</v>
      </c>
      <c r="Q10" s="101">
        <f t="shared" si="8"/>
        <v>2.733427002171414</v>
      </c>
      <c r="R10" s="6">
        <f>244+92</f>
        <v>336</v>
      </c>
      <c r="S10" s="101">
        <f t="shared" si="9"/>
        <v>3.83342840844267</v>
      </c>
      <c r="T10" s="6">
        <v>305</v>
      </c>
      <c r="U10" s="101">
        <f t="shared" si="10"/>
        <v>3.7556951114394774</v>
      </c>
      <c r="V10" s="17">
        <f>389+118</f>
        <v>507</v>
      </c>
      <c r="W10" s="67">
        <f t="shared" si="11"/>
        <v>5.6414821408701457</v>
      </c>
    </row>
    <row r="11" spans="1:24" ht="20.100000000000001" customHeight="1">
      <c r="A11" s="27" t="s">
        <v>289</v>
      </c>
      <c r="B11" s="6">
        <f>336+83</f>
        <v>419</v>
      </c>
      <c r="C11" s="101">
        <f t="shared" si="1"/>
        <v>3.6809276992005624</v>
      </c>
      <c r="D11" s="6">
        <f>305+76</f>
        <v>381</v>
      </c>
      <c r="E11" s="101">
        <f t="shared" si="2"/>
        <v>3.6726431463273568</v>
      </c>
      <c r="F11" s="6">
        <f>294+67</f>
        <v>361</v>
      </c>
      <c r="G11" s="101">
        <f t="shared" si="3"/>
        <v>3.8572497061651889</v>
      </c>
      <c r="H11" s="6">
        <f>273+45</f>
        <v>318</v>
      </c>
      <c r="I11" s="101">
        <f t="shared" si="4"/>
        <v>3.7114845938375352</v>
      </c>
      <c r="J11" s="6">
        <f>293+44</f>
        <v>337</v>
      </c>
      <c r="K11" s="101">
        <f t="shared" si="5"/>
        <v>4.144121987211018</v>
      </c>
      <c r="L11" s="6">
        <f>285+44</f>
        <v>329</v>
      </c>
      <c r="M11" s="101">
        <f t="shared" si="6"/>
        <v>3.8944128787878785</v>
      </c>
      <c r="N11" s="6">
        <f>338+49</f>
        <v>387</v>
      </c>
      <c r="O11" s="101">
        <f t="shared" si="7"/>
        <v>4.8716012084592144</v>
      </c>
      <c r="P11" s="6">
        <f>367+43</f>
        <v>410</v>
      </c>
      <c r="Q11" s="101">
        <f t="shared" si="8"/>
        <v>5.2369395835994377</v>
      </c>
      <c r="R11" s="6">
        <f>349+49</f>
        <v>398</v>
      </c>
      <c r="S11" s="101">
        <f t="shared" si="9"/>
        <v>4.5407872219053056</v>
      </c>
      <c r="T11" s="6">
        <v>374</v>
      </c>
      <c r="U11" s="101">
        <f t="shared" si="10"/>
        <v>4.6053441694372612</v>
      </c>
      <c r="V11" s="17">
        <f>386+63</f>
        <v>449</v>
      </c>
      <c r="W11" s="67">
        <f t="shared" si="11"/>
        <v>4.9961054857015696</v>
      </c>
    </row>
    <row r="12" spans="1:24" ht="20.100000000000001" customHeight="1">
      <c r="A12" s="27" t="s">
        <v>288</v>
      </c>
      <c r="B12" s="6">
        <f>767+84</f>
        <v>851</v>
      </c>
      <c r="C12" s="101">
        <f t="shared" si="1"/>
        <v>7.4760607924097329</v>
      </c>
      <c r="D12" s="6">
        <f>750+106</f>
        <v>856</v>
      </c>
      <c r="E12" s="101">
        <f t="shared" si="2"/>
        <v>8.2513977250819348</v>
      </c>
      <c r="F12" s="6">
        <f>904+98</f>
        <v>1002</v>
      </c>
      <c r="G12" s="101">
        <f t="shared" si="3"/>
        <v>10.706272037610857</v>
      </c>
      <c r="H12" s="6">
        <f>670+99</f>
        <v>769</v>
      </c>
      <c r="I12" s="101">
        <f t="shared" si="4"/>
        <v>8.9752567693744165</v>
      </c>
      <c r="J12" s="6">
        <f>650+95</f>
        <v>745</v>
      </c>
      <c r="K12" s="101">
        <f t="shared" si="5"/>
        <v>9.1613379242498763</v>
      </c>
      <c r="L12" s="6">
        <f>650+109</f>
        <v>759</v>
      </c>
      <c r="M12" s="101">
        <f t="shared" si="6"/>
        <v>8.984375</v>
      </c>
      <c r="N12" s="6">
        <f>608+109</f>
        <v>717</v>
      </c>
      <c r="O12" s="101">
        <f t="shared" si="7"/>
        <v>9.0256797583081561</v>
      </c>
      <c r="P12" s="6">
        <f>524+94</f>
        <v>618</v>
      </c>
      <c r="Q12" s="101">
        <f t="shared" si="8"/>
        <v>7.8937284455230561</v>
      </c>
      <c r="R12" s="6">
        <f>524+89</f>
        <v>613</v>
      </c>
      <c r="S12" s="101">
        <f t="shared" si="9"/>
        <v>6.9937250427837991</v>
      </c>
      <c r="T12" s="6">
        <v>438</v>
      </c>
      <c r="U12" s="101">
        <f t="shared" si="10"/>
        <v>5.3934244551163646</v>
      </c>
      <c r="V12" s="17">
        <f>362+55</f>
        <v>417</v>
      </c>
      <c r="W12" s="67">
        <f t="shared" si="11"/>
        <v>4.6400356069878708</v>
      </c>
    </row>
    <row r="13" spans="1:24" ht="20.100000000000001" customHeight="1">
      <c r="A13" s="27" t="s">
        <v>291</v>
      </c>
      <c r="B13" s="6">
        <f>173+13</f>
        <v>186</v>
      </c>
      <c r="C13" s="101">
        <f t="shared" si="1"/>
        <v>1.6340156373539489</v>
      </c>
      <c r="D13" s="6">
        <f>164+12</f>
        <v>176</v>
      </c>
      <c r="E13" s="101">
        <f t="shared" si="2"/>
        <v>1.6965490649701174</v>
      </c>
      <c r="F13" s="6">
        <f>150+5</f>
        <v>155</v>
      </c>
      <c r="G13" s="101">
        <f t="shared" si="3"/>
        <v>1.6561598461374079</v>
      </c>
      <c r="H13" s="6">
        <f>126+4</f>
        <v>130</v>
      </c>
      <c r="I13" s="101">
        <f t="shared" si="4"/>
        <v>1.5172735760971054</v>
      </c>
      <c r="J13" s="6">
        <f>152+13</f>
        <v>165</v>
      </c>
      <c r="K13" s="101">
        <f t="shared" si="5"/>
        <v>2.029021151008362</v>
      </c>
      <c r="L13" s="6">
        <f>206+6</f>
        <v>212</v>
      </c>
      <c r="M13" s="101">
        <f t="shared" si="6"/>
        <v>2.5094696969696968</v>
      </c>
      <c r="N13" s="6">
        <f>286+9</f>
        <v>295</v>
      </c>
      <c r="O13" s="101">
        <f t="shared" si="7"/>
        <v>3.7134944612286001</v>
      </c>
      <c r="P13" s="6">
        <f>250+11</f>
        <v>261</v>
      </c>
      <c r="Q13" s="101">
        <f t="shared" si="8"/>
        <v>3.3337591007791545</v>
      </c>
      <c r="R13" s="6">
        <f>271+9</f>
        <v>280</v>
      </c>
      <c r="S13" s="101">
        <f t="shared" si="9"/>
        <v>3.1945236737022249</v>
      </c>
      <c r="T13" s="6">
        <v>238</v>
      </c>
      <c r="U13" s="101">
        <f t="shared" si="10"/>
        <v>2.9306735623691664</v>
      </c>
      <c r="V13" s="17">
        <f>243+8</f>
        <v>251</v>
      </c>
      <c r="W13" s="67">
        <f t="shared" si="11"/>
        <v>2.7929231111605652</v>
      </c>
    </row>
    <row r="14" spans="1:24" ht="20.100000000000001" customHeight="1">
      <c r="A14" s="27" t="s">
        <v>292</v>
      </c>
      <c r="B14" s="6">
        <f>646+220</f>
        <v>866</v>
      </c>
      <c r="C14" s="101">
        <f t="shared" si="1"/>
        <v>7.6078362470350518</v>
      </c>
      <c r="D14" s="6">
        <f>823+212</f>
        <v>1035</v>
      </c>
      <c r="E14" s="101">
        <f t="shared" si="2"/>
        <v>9.9768652400231339</v>
      </c>
      <c r="F14" s="6">
        <f>637+142</f>
        <v>779</v>
      </c>
      <c r="G14" s="101">
        <f t="shared" si="3"/>
        <v>8.3235388396196175</v>
      </c>
      <c r="H14" s="6">
        <f>736+235</f>
        <v>971</v>
      </c>
      <c r="I14" s="101">
        <f t="shared" si="4"/>
        <v>11.332866479925304</v>
      </c>
      <c r="J14" s="6">
        <f>660+199</f>
        <v>859</v>
      </c>
      <c r="K14" s="101">
        <f t="shared" si="5"/>
        <v>10.563207083128381</v>
      </c>
      <c r="L14" s="6">
        <f>587+168</f>
        <v>755</v>
      </c>
      <c r="M14" s="101">
        <f t="shared" si="6"/>
        <v>8.9370265151515156</v>
      </c>
      <c r="N14" s="6">
        <f>294+97</f>
        <v>391</v>
      </c>
      <c r="O14" s="101">
        <f t="shared" si="7"/>
        <v>4.9219536757301103</v>
      </c>
      <c r="P14" s="6">
        <f>236+66</f>
        <v>302</v>
      </c>
      <c r="Q14" s="101">
        <f t="shared" si="8"/>
        <v>3.8574530591390981</v>
      </c>
      <c r="R14" s="6">
        <f>203+41</f>
        <v>244</v>
      </c>
      <c r="S14" s="101">
        <f t="shared" si="9"/>
        <v>2.7837992013690815</v>
      </c>
      <c r="T14" s="6">
        <v>197</v>
      </c>
      <c r="U14" s="101">
        <f t="shared" si="10"/>
        <v>2.4258096293559905</v>
      </c>
      <c r="V14" s="17">
        <f>128+27</f>
        <v>155</v>
      </c>
      <c r="W14" s="67">
        <f t="shared" si="11"/>
        <v>1.7247134750194726</v>
      </c>
    </row>
    <row r="15" spans="1:24" ht="20.100000000000001" customHeight="1">
      <c r="A15" s="27" t="s">
        <v>295</v>
      </c>
      <c r="B15" s="6">
        <f>80+6</f>
        <v>86</v>
      </c>
      <c r="C15" s="101">
        <f t="shared" si="1"/>
        <v>0.7555126065184925</v>
      </c>
      <c r="D15" s="6">
        <f>79+3</f>
        <v>82</v>
      </c>
      <c r="E15" s="101">
        <f t="shared" si="2"/>
        <v>0.79043763254289579</v>
      </c>
      <c r="F15" s="6">
        <f>72+0</f>
        <v>72</v>
      </c>
      <c r="G15" s="101">
        <f t="shared" si="3"/>
        <v>0.76931296078640876</v>
      </c>
      <c r="H15" s="6">
        <v>92</v>
      </c>
      <c r="I15" s="101">
        <f t="shared" si="4"/>
        <v>1.0737628384687208</v>
      </c>
      <c r="J15" s="6">
        <f>87+1</f>
        <v>88</v>
      </c>
      <c r="K15" s="101">
        <f t="shared" si="5"/>
        <v>1.0821446138711266</v>
      </c>
      <c r="L15" s="6">
        <f>134+7</f>
        <v>141</v>
      </c>
      <c r="M15" s="101">
        <f t="shared" si="6"/>
        <v>1.6690340909090908</v>
      </c>
      <c r="N15" s="6">
        <f>94+3</f>
        <v>97</v>
      </c>
      <c r="O15" s="101">
        <f t="shared" si="7"/>
        <v>1.2210473313192347</v>
      </c>
      <c r="P15" s="6">
        <f>33+5</f>
        <v>38</v>
      </c>
      <c r="Q15" s="101">
        <f t="shared" si="8"/>
        <v>0.48537488823604547</v>
      </c>
      <c r="R15" s="6">
        <f>60+5</f>
        <v>65</v>
      </c>
      <c r="S15" s="101">
        <f t="shared" si="9"/>
        <v>0.74158585282373068</v>
      </c>
      <c r="T15" s="6">
        <v>78</v>
      </c>
      <c r="U15" s="101">
        <f t="shared" si="10"/>
        <v>0.96047284817140743</v>
      </c>
      <c r="V15" s="17">
        <f>123+9</f>
        <v>132</v>
      </c>
      <c r="W15" s="67">
        <f t="shared" si="11"/>
        <v>1.4687882496940026</v>
      </c>
    </row>
    <row r="16" spans="1:24" ht="20.100000000000001" customHeight="1">
      <c r="A16" s="27" t="s">
        <v>294</v>
      </c>
      <c r="B16" s="6">
        <f>61+27</f>
        <v>88</v>
      </c>
      <c r="C16" s="101">
        <f t="shared" si="1"/>
        <v>0.77308266713520157</v>
      </c>
      <c r="D16" s="6">
        <f>43+19</f>
        <v>62</v>
      </c>
      <c r="E16" s="101">
        <f t="shared" si="2"/>
        <v>0.59764796606901871</v>
      </c>
      <c r="F16" s="6">
        <f>69+27</f>
        <v>96</v>
      </c>
      <c r="G16" s="101">
        <f t="shared" si="3"/>
        <v>1.0257506143818784</v>
      </c>
      <c r="H16" s="6">
        <f>53+11</f>
        <v>64</v>
      </c>
      <c r="I16" s="101">
        <f t="shared" si="4"/>
        <v>0.7469654528478058</v>
      </c>
      <c r="J16" s="6">
        <f>68+22</f>
        <v>90</v>
      </c>
      <c r="K16" s="101">
        <f t="shared" si="5"/>
        <v>1.1067388096409247</v>
      </c>
      <c r="L16" s="6">
        <f>99+31</f>
        <v>130</v>
      </c>
      <c r="M16" s="101">
        <f t="shared" si="6"/>
        <v>1.5388257575757576</v>
      </c>
      <c r="N16" s="6">
        <f>83+38</f>
        <v>121</v>
      </c>
      <c r="O16" s="101">
        <f t="shared" si="7"/>
        <v>1.5231621349446123</v>
      </c>
      <c r="P16" s="6">
        <f>85+27</f>
        <v>112</v>
      </c>
      <c r="Q16" s="101">
        <f t="shared" si="8"/>
        <v>1.4305786179588709</v>
      </c>
      <c r="R16" s="6">
        <f>96+36</f>
        <v>132</v>
      </c>
      <c r="S16" s="101">
        <f t="shared" si="9"/>
        <v>1.5059897318881916</v>
      </c>
      <c r="T16" s="6">
        <v>113</v>
      </c>
      <c r="U16" s="101">
        <f t="shared" si="10"/>
        <v>1.3914542544021671</v>
      </c>
      <c r="V16" s="17">
        <f>80+36</f>
        <v>116</v>
      </c>
      <c r="W16" s="67">
        <f t="shared" si="11"/>
        <v>1.2907533103371536</v>
      </c>
    </row>
    <row r="17" spans="1:23" ht="20.100000000000001" customHeight="1">
      <c r="A17" s="27" t="s">
        <v>296</v>
      </c>
      <c r="B17" s="6">
        <f>110+35</f>
        <v>145</v>
      </c>
      <c r="C17" s="101">
        <f t="shared" si="1"/>
        <v>1.2738293947114117</v>
      </c>
      <c r="D17" s="6">
        <f>176+41</f>
        <v>217</v>
      </c>
      <c r="E17" s="101">
        <f t="shared" si="2"/>
        <v>2.0917678812415654</v>
      </c>
      <c r="F17" s="6">
        <f>159+36</f>
        <v>195</v>
      </c>
      <c r="G17" s="101">
        <f t="shared" si="3"/>
        <v>2.0835559354631905</v>
      </c>
      <c r="H17" s="6">
        <f>131+23</f>
        <v>154</v>
      </c>
      <c r="I17" s="101">
        <f t="shared" si="4"/>
        <v>1.7973856209150325</v>
      </c>
      <c r="J17" s="6">
        <f>73+31</f>
        <v>104</v>
      </c>
      <c r="K17" s="101">
        <f t="shared" si="5"/>
        <v>1.2788981800295129</v>
      </c>
      <c r="L17" s="6">
        <f>52+28</f>
        <v>80</v>
      </c>
      <c r="M17" s="101">
        <f t="shared" si="6"/>
        <v>0.94696969696969702</v>
      </c>
      <c r="N17" s="6">
        <f>33+28</f>
        <v>61</v>
      </c>
      <c r="O17" s="101">
        <f t="shared" si="7"/>
        <v>0.76787512588116813</v>
      </c>
      <c r="P17" s="6">
        <f>44+23</f>
        <v>67</v>
      </c>
      <c r="Q17" s="101">
        <f t="shared" si="8"/>
        <v>0.85579256610039589</v>
      </c>
      <c r="R17" s="6">
        <f>34+21</f>
        <v>55</v>
      </c>
      <c r="S17" s="101">
        <f t="shared" si="9"/>
        <v>0.62749572162007994</v>
      </c>
      <c r="T17" s="6">
        <v>66</v>
      </c>
      <c r="U17" s="101">
        <f t="shared" si="10"/>
        <v>0.8127077946065755</v>
      </c>
      <c r="V17" s="17">
        <f>68+20</f>
        <v>88</v>
      </c>
      <c r="W17" s="67">
        <f t="shared" si="11"/>
        <v>0.97919216646266816</v>
      </c>
    </row>
    <row r="18" spans="1:23" ht="20.100000000000001" customHeight="1">
      <c r="A18" s="27" t="s">
        <v>330</v>
      </c>
      <c r="B18" s="6" t="s">
        <v>9</v>
      </c>
      <c r="C18" s="101" t="str">
        <f t="shared" si="1"/>
        <v>-</v>
      </c>
      <c r="D18" s="6" t="s">
        <v>9</v>
      </c>
      <c r="E18" s="101" t="str">
        <f t="shared" si="2"/>
        <v>-</v>
      </c>
      <c r="F18" s="6" t="s">
        <v>9</v>
      </c>
      <c r="G18" s="101" t="str">
        <f t="shared" si="3"/>
        <v>-</v>
      </c>
      <c r="H18" s="6" t="s">
        <v>9</v>
      </c>
      <c r="I18" s="101" t="str">
        <f t="shared" si="4"/>
        <v>-</v>
      </c>
      <c r="J18" s="6" t="s">
        <v>9</v>
      </c>
      <c r="K18" s="101" t="str">
        <f t="shared" si="5"/>
        <v>-</v>
      </c>
      <c r="L18" s="6" t="s">
        <v>9</v>
      </c>
      <c r="M18" s="101" t="str">
        <f t="shared" si="6"/>
        <v>-</v>
      </c>
      <c r="N18" s="6">
        <f>6+2</f>
        <v>8</v>
      </c>
      <c r="O18" s="101">
        <f t="shared" si="7"/>
        <v>0.10070493454179255</v>
      </c>
      <c r="P18" s="6">
        <f>11+3</f>
        <v>14</v>
      </c>
      <c r="Q18" s="101">
        <f t="shared" si="8"/>
        <v>0.17882232724485886</v>
      </c>
      <c r="R18" s="6">
        <f>15+3</f>
        <v>18</v>
      </c>
      <c r="S18" s="101">
        <f t="shared" si="9"/>
        <v>0.20536223616657157</v>
      </c>
      <c r="T18" s="6">
        <v>35</v>
      </c>
      <c r="U18" s="101">
        <f t="shared" si="10"/>
        <v>0.43098140623075976</v>
      </c>
      <c r="V18" s="17">
        <f>49+33</f>
        <v>82</v>
      </c>
      <c r="W18" s="67">
        <f t="shared" si="11"/>
        <v>0.91242906420385006</v>
      </c>
    </row>
    <row r="19" spans="1:23" ht="20.100000000000001" customHeight="1">
      <c r="A19" s="27" t="s">
        <v>293</v>
      </c>
      <c r="B19" s="6">
        <f>271+41</f>
        <v>312</v>
      </c>
      <c r="C19" s="101">
        <f t="shared" si="1"/>
        <v>2.740929456206624</v>
      </c>
      <c r="D19" s="6">
        <f>195+19</f>
        <v>214</v>
      </c>
      <c r="E19" s="101">
        <f t="shared" si="2"/>
        <v>2.0628494312704837</v>
      </c>
      <c r="F19" s="6">
        <f>167+23</f>
        <v>190</v>
      </c>
      <c r="G19" s="101">
        <f t="shared" si="3"/>
        <v>2.0301314242974677</v>
      </c>
      <c r="H19" s="6">
        <f>171+15</f>
        <v>186</v>
      </c>
      <c r="I19" s="101">
        <f t="shared" si="4"/>
        <v>2.1708683473389354</v>
      </c>
      <c r="J19" s="6">
        <f>120+13</f>
        <v>133</v>
      </c>
      <c r="K19" s="101">
        <f t="shared" si="5"/>
        <v>1.6355140186915886</v>
      </c>
      <c r="L19" s="6">
        <f>103+11</f>
        <v>114</v>
      </c>
      <c r="M19" s="101">
        <f t="shared" si="6"/>
        <v>1.3494318181818181</v>
      </c>
      <c r="N19" s="6">
        <f>95+6</f>
        <v>101</v>
      </c>
      <c r="O19" s="101">
        <f t="shared" si="7"/>
        <v>1.2713997985901311</v>
      </c>
      <c r="P19" s="6">
        <f>119+15</f>
        <v>134</v>
      </c>
      <c r="Q19" s="101">
        <f t="shared" si="8"/>
        <v>1.7115851322007918</v>
      </c>
      <c r="R19" s="6">
        <f>71+20</f>
        <v>91</v>
      </c>
      <c r="S19" s="101">
        <f t="shared" si="9"/>
        <v>1.038220193953223</v>
      </c>
      <c r="T19" s="6">
        <v>120</v>
      </c>
      <c r="U19" s="101">
        <f t="shared" si="10"/>
        <v>1.4776505356483192</v>
      </c>
      <c r="V19" s="17">
        <f>69+11</f>
        <v>80</v>
      </c>
      <c r="W19" s="67">
        <f t="shared" si="11"/>
        <v>0.89017469678424388</v>
      </c>
    </row>
    <row r="20" spans="1:23" ht="20.100000000000001" customHeight="1">
      <c r="A20" s="27" t="s">
        <v>298</v>
      </c>
      <c r="B20" s="6">
        <f>70+23</f>
        <v>93</v>
      </c>
      <c r="C20" s="101">
        <f t="shared" si="1"/>
        <v>0.81700781867697447</v>
      </c>
      <c r="D20" s="6">
        <f>71+31</f>
        <v>102</v>
      </c>
      <c r="E20" s="101">
        <f t="shared" si="2"/>
        <v>0.98322729901677264</v>
      </c>
      <c r="F20" s="6">
        <f>54+19</f>
        <v>73</v>
      </c>
      <c r="G20" s="101">
        <f t="shared" si="3"/>
        <v>0.77999786301955343</v>
      </c>
      <c r="H20" s="6">
        <f>55+11</f>
        <v>66</v>
      </c>
      <c r="I20" s="101">
        <f t="shared" si="4"/>
        <v>0.77030812324929976</v>
      </c>
      <c r="J20" s="6">
        <f>52+9</f>
        <v>61</v>
      </c>
      <c r="K20" s="101">
        <f t="shared" si="5"/>
        <v>0.75012297097884906</v>
      </c>
      <c r="L20" s="6">
        <f>35+9</f>
        <v>44</v>
      </c>
      <c r="M20" s="101">
        <f t="shared" si="6"/>
        <v>0.52083333333333326</v>
      </c>
      <c r="N20" s="6">
        <f>56+6</f>
        <v>62</v>
      </c>
      <c r="O20" s="101">
        <f t="shared" si="7"/>
        <v>0.78046324269889222</v>
      </c>
      <c r="P20" s="6">
        <f>51+14</f>
        <v>65</v>
      </c>
      <c r="Q20" s="101">
        <f t="shared" si="8"/>
        <v>0.83024651935113047</v>
      </c>
      <c r="R20" s="6">
        <f>48+18</f>
        <v>66</v>
      </c>
      <c r="S20" s="101">
        <f t="shared" si="9"/>
        <v>0.75299486594409581</v>
      </c>
      <c r="T20" s="6">
        <v>38</v>
      </c>
      <c r="U20" s="101">
        <f t="shared" si="10"/>
        <v>0.46792266962196771</v>
      </c>
      <c r="V20" s="17">
        <f>50+11</f>
        <v>61</v>
      </c>
      <c r="W20" s="67">
        <f t="shared" si="11"/>
        <v>0.678758206297986</v>
      </c>
    </row>
    <row r="21" spans="1:23" ht="20.100000000000001" customHeight="1">
      <c r="A21" s="27" t="s">
        <v>335</v>
      </c>
      <c r="B21" s="6">
        <v>41</v>
      </c>
      <c r="C21" s="101">
        <f t="shared" si="1"/>
        <v>0.36018624264253712</v>
      </c>
      <c r="D21" s="6">
        <f>41+3</f>
        <v>44</v>
      </c>
      <c r="E21" s="101">
        <f t="shared" si="2"/>
        <v>0.42413726624252934</v>
      </c>
      <c r="F21" s="6">
        <f>26+3</f>
        <v>29</v>
      </c>
      <c r="G21" s="101">
        <f t="shared" si="3"/>
        <v>0.30986216476119244</v>
      </c>
      <c r="H21" s="6">
        <f>18+1</f>
        <v>19</v>
      </c>
      <c r="I21" s="101">
        <f t="shared" si="4"/>
        <v>0.22175536881419233</v>
      </c>
      <c r="J21" s="6">
        <v>24</v>
      </c>
      <c r="K21" s="101">
        <f t="shared" si="5"/>
        <v>0.29513034923757991</v>
      </c>
      <c r="L21" s="6">
        <v>12</v>
      </c>
      <c r="M21" s="101">
        <f t="shared" si="6"/>
        <v>0.14204545454545456</v>
      </c>
      <c r="N21" s="6">
        <f>28+2</f>
        <v>30</v>
      </c>
      <c r="O21" s="101">
        <f t="shared" si="7"/>
        <v>0.37764350453172207</v>
      </c>
      <c r="P21" s="6">
        <f>15+1</f>
        <v>16</v>
      </c>
      <c r="Q21" s="101">
        <f t="shared" si="8"/>
        <v>0.20436837399412441</v>
      </c>
      <c r="R21" s="6">
        <f>25+3</f>
        <v>28</v>
      </c>
      <c r="S21" s="101">
        <f t="shared" si="9"/>
        <v>0.31945236737022248</v>
      </c>
      <c r="T21" s="6">
        <v>27</v>
      </c>
      <c r="U21" s="101">
        <f t="shared" si="10"/>
        <v>0.33247137052087183</v>
      </c>
      <c r="V21" s="17">
        <f>45+1</f>
        <v>46</v>
      </c>
      <c r="W21" s="67">
        <f t="shared" si="11"/>
        <v>0.51185045065094026</v>
      </c>
    </row>
    <row r="22" spans="1:23" ht="20.100000000000001" customHeight="1">
      <c r="A22" s="27" t="s">
        <v>300</v>
      </c>
      <c r="B22" s="6">
        <f>9+2</f>
        <v>11</v>
      </c>
      <c r="C22" s="101">
        <f t="shared" si="1"/>
        <v>9.6635333391900197E-2</v>
      </c>
      <c r="D22" s="6">
        <f>4+0</f>
        <v>4</v>
      </c>
      <c r="E22" s="101">
        <f t="shared" si="2"/>
        <v>3.8557933294775401E-2</v>
      </c>
      <c r="F22" s="6">
        <f>7+2</f>
        <v>9</v>
      </c>
      <c r="G22" s="101">
        <f t="shared" si="3"/>
        <v>9.6164120098301095E-2</v>
      </c>
      <c r="H22" s="6">
        <f>12+1</f>
        <v>13</v>
      </c>
      <c r="I22" s="101">
        <f t="shared" si="4"/>
        <v>0.15172735760971057</v>
      </c>
      <c r="J22" s="6">
        <f>20+3</f>
        <v>23</v>
      </c>
      <c r="K22" s="101">
        <f t="shared" si="5"/>
        <v>0.28283325135268078</v>
      </c>
      <c r="L22" s="6">
        <f>20+1</f>
        <v>21</v>
      </c>
      <c r="M22" s="101">
        <f t="shared" si="6"/>
        <v>0.24857954545454544</v>
      </c>
      <c r="N22" s="6">
        <f>28+1</f>
        <v>29</v>
      </c>
      <c r="O22" s="101">
        <f t="shared" si="7"/>
        <v>0.36505538771399798</v>
      </c>
      <c r="P22" s="6">
        <f>26+2</f>
        <v>28</v>
      </c>
      <c r="Q22" s="101">
        <f t="shared" si="8"/>
        <v>0.35764465448971772</v>
      </c>
      <c r="R22" s="6">
        <f>25+1</f>
        <v>26</v>
      </c>
      <c r="S22" s="101">
        <f t="shared" si="9"/>
        <v>0.29663434112949227</v>
      </c>
      <c r="T22" s="6">
        <v>32</v>
      </c>
      <c r="U22" s="101">
        <f t="shared" si="10"/>
        <v>0.39404014283955174</v>
      </c>
      <c r="V22" s="17">
        <f>36+4</f>
        <v>40</v>
      </c>
      <c r="W22" s="67">
        <f t="shared" si="11"/>
        <v>0.44508734839212194</v>
      </c>
    </row>
    <row r="23" spans="1:23" ht="20.100000000000001" customHeight="1">
      <c r="A23" s="27" t="s">
        <v>303</v>
      </c>
      <c r="B23" s="6">
        <f>19+0</f>
        <v>19</v>
      </c>
      <c r="C23" s="101">
        <f t="shared" si="1"/>
        <v>0.1669155758587367</v>
      </c>
      <c r="D23" s="6">
        <f>18+1</f>
        <v>19</v>
      </c>
      <c r="E23" s="101">
        <f t="shared" si="2"/>
        <v>0.18315018315018314</v>
      </c>
      <c r="F23" s="6">
        <f>21+0</f>
        <v>21</v>
      </c>
      <c r="G23" s="101">
        <f t="shared" si="3"/>
        <v>0.22438294689603588</v>
      </c>
      <c r="H23" s="6">
        <v>11</v>
      </c>
      <c r="I23" s="101">
        <f t="shared" si="4"/>
        <v>0.12838468720821661</v>
      </c>
      <c r="J23" s="6">
        <f>14+1</f>
        <v>15</v>
      </c>
      <c r="K23" s="101">
        <f t="shared" si="5"/>
        <v>0.18445646827348747</v>
      </c>
      <c r="L23" s="6">
        <f>10+1</f>
        <v>11</v>
      </c>
      <c r="M23" s="101">
        <f t="shared" si="6"/>
        <v>0.13020833333333331</v>
      </c>
      <c r="N23" s="6">
        <f>15+7</f>
        <v>22</v>
      </c>
      <c r="O23" s="101">
        <f t="shared" si="7"/>
        <v>0.27693856998992955</v>
      </c>
      <c r="P23" s="6">
        <f>13+2</f>
        <v>15</v>
      </c>
      <c r="Q23" s="101">
        <f t="shared" si="8"/>
        <v>0.19159535061949162</v>
      </c>
      <c r="R23" s="6">
        <f>12+3</f>
        <v>15</v>
      </c>
      <c r="S23" s="101">
        <f t="shared" si="9"/>
        <v>0.17113519680547634</v>
      </c>
      <c r="T23" s="6">
        <v>25</v>
      </c>
      <c r="U23" s="101">
        <f t="shared" si="10"/>
        <v>0.30784386159339983</v>
      </c>
      <c r="V23" s="17">
        <f>36+2</f>
        <v>38</v>
      </c>
      <c r="W23" s="67">
        <f t="shared" si="11"/>
        <v>0.42283298097251587</v>
      </c>
    </row>
    <row r="24" spans="1:23" ht="20.100000000000001" customHeight="1">
      <c r="A24" s="27" t="s">
        <v>297</v>
      </c>
      <c r="B24" s="6">
        <f>100+15</f>
        <v>115</v>
      </c>
      <c r="C24" s="101">
        <f t="shared" si="1"/>
        <v>1.0102784854607749</v>
      </c>
      <c r="D24" s="6">
        <f>73+11</f>
        <v>84</v>
      </c>
      <c r="E24" s="101">
        <f t="shared" si="2"/>
        <v>0.80971659919028338</v>
      </c>
      <c r="F24" s="6">
        <f>70+8</f>
        <v>78</v>
      </c>
      <c r="G24" s="101">
        <f t="shared" si="3"/>
        <v>0.8334223741852762</v>
      </c>
      <c r="H24" s="6">
        <f>70+15</f>
        <v>85</v>
      </c>
      <c r="I24" s="101">
        <f t="shared" si="4"/>
        <v>0.99206349206349198</v>
      </c>
      <c r="J24" s="6">
        <f>68+7</f>
        <v>75</v>
      </c>
      <c r="K24" s="101">
        <f t="shared" si="5"/>
        <v>0.92228234136743725</v>
      </c>
      <c r="L24" s="6">
        <f>44+7</f>
        <v>51</v>
      </c>
      <c r="M24" s="101">
        <f t="shared" si="6"/>
        <v>0.60369318181818177</v>
      </c>
      <c r="N24" s="6">
        <f>55+4</f>
        <v>59</v>
      </c>
      <c r="O24" s="101">
        <f t="shared" si="7"/>
        <v>0.74269889224572005</v>
      </c>
      <c r="P24" s="6">
        <f>47+6</f>
        <v>53</v>
      </c>
      <c r="Q24" s="101">
        <f t="shared" si="8"/>
        <v>0.67697023885553709</v>
      </c>
      <c r="R24" s="6">
        <f>41+3</f>
        <v>44</v>
      </c>
      <c r="S24" s="101">
        <f t="shared" si="9"/>
        <v>0.50199657729606384</v>
      </c>
      <c r="T24" s="6">
        <v>41</v>
      </c>
      <c r="U24" s="101">
        <f t="shared" si="10"/>
        <v>0.50486393301317578</v>
      </c>
      <c r="V24" s="17">
        <f>29+5</f>
        <v>34</v>
      </c>
      <c r="W24" s="67">
        <f t="shared" si="11"/>
        <v>0.37832424613330362</v>
      </c>
    </row>
    <row r="25" spans="1:23" ht="20.100000000000001" customHeight="1">
      <c r="A25" s="27" t="s">
        <v>302</v>
      </c>
      <c r="B25" s="6">
        <f>28+7</f>
        <v>35</v>
      </c>
      <c r="C25" s="101">
        <f t="shared" si="1"/>
        <v>0.30747606079240974</v>
      </c>
      <c r="D25" s="6">
        <f>35+4</f>
        <v>39</v>
      </c>
      <c r="E25" s="101">
        <f t="shared" si="2"/>
        <v>0.37593984962406013</v>
      </c>
      <c r="F25" s="6">
        <f>54+3</f>
        <v>57</v>
      </c>
      <c r="G25" s="101">
        <f t="shared" si="3"/>
        <v>0.60903942728924032</v>
      </c>
      <c r="H25" s="6">
        <f>36+4</f>
        <v>40</v>
      </c>
      <c r="I25" s="101">
        <f t="shared" si="4"/>
        <v>0.46685340802987862</v>
      </c>
      <c r="J25" s="6">
        <f>31+5</f>
        <v>36</v>
      </c>
      <c r="K25" s="101">
        <f t="shared" si="5"/>
        <v>0.4426955238563699</v>
      </c>
      <c r="L25" s="6">
        <f>30+3</f>
        <v>33</v>
      </c>
      <c r="M25" s="101">
        <f t="shared" si="6"/>
        <v>0.390625</v>
      </c>
      <c r="N25" s="6">
        <f>31+3</f>
        <v>34</v>
      </c>
      <c r="O25" s="101">
        <f t="shared" si="7"/>
        <v>0.42799597180261834</v>
      </c>
      <c r="P25" s="6">
        <f>25+1</f>
        <v>26</v>
      </c>
      <c r="Q25" s="101">
        <f t="shared" si="8"/>
        <v>0.33209860774045219</v>
      </c>
      <c r="R25" s="6">
        <f>35+1</f>
        <v>36</v>
      </c>
      <c r="S25" s="101">
        <f t="shared" si="9"/>
        <v>0.41072447233314313</v>
      </c>
      <c r="T25" s="6">
        <v>29</v>
      </c>
      <c r="U25" s="101">
        <f t="shared" si="10"/>
        <v>0.35709887944834379</v>
      </c>
      <c r="V25" s="17">
        <f>30+3</f>
        <v>33</v>
      </c>
      <c r="W25" s="67">
        <f t="shared" si="11"/>
        <v>0.36719706242350064</v>
      </c>
    </row>
    <row r="26" spans="1:23" ht="20.100000000000001" customHeight="1">
      <c r="A26" s="27" t="s">
        <v>299</v>
      </c>
      <c r="B26" s="6">
        <f>125+16</f>
        <v>141</v>
      </c>
      <c r="C26" s="101">
        <f t="shared" si="1"/>
        <v>1.2386892734779935</v>
      </c>
      <c r="D26" s="6">
        <f>112+25</f>
        <v>137</v>
      </c>
      <c r="E26" s="101">
        <f t="shared" si="2"/>
        <v>1.3206092153460576</v>
      </c>
      <c r="F26" s="6">
        <f>107+18</f>
        <v>125</v>
      </c>
      <c r="G26" s="101">
        <f t="shared" si="3"/>
        <v>1.3356127791430707</v>
      </c>
      <c r="H26" s="6">
        <f>79+8</f>
        <v>87</v>
      </c>
      <c r="I26" s="101">
        <f t="shared" si="4"/>
        <v>1.0154061624649859</v>
      </c>
      <c r="J26" s="6">
        <f>57+8</f>
        <v>65</v>
      </c>
      <c r="K26" s="101">
        <f t="shared" si="5"/>
        <v>0.79931136251844559</v>
      </c>
      <c r="L26" s="6">
        <f>48+7</f>
        <v>55</v>
      </c>
      <c r="M26" s="101">
        <f t="shared" si="6"/>
        <v>0.65104166666666674</v>
      </c>
      <c r="N26" s="6">
        <f>46+5</f>
        <v>51</v>
      </c>
      <c r="O26" s="101">
        <f t="shared" si="7"/>
        <v>0.64199395770392753</v>
      </c>
      <c r="P26" s="6">
        <f>38+0</f>
        <v>38</v>
      </c>
      <c r="Q26" s="101">
        <f t="shared" si="8"/>
        <v>0.48537488823604547</v>
      </c>
      <c r="R26" s="6">
        <f>37+2</f>
        <v>39</v>
      </c>
      <c r="S26" s="101">
        <f t="shared" si="9"/>
        <v>0.44495151169423847</v>
      </c>
      <c r="T26" s="6">
        <v>34</v>
      </c>
      <c r="U26" s="101">
        <f t="shared" si="10"/>
        <v>0.41866765176702375</v>
      </c>
      <c r="V26" s="17">
        <f>31+1</f>
        <v>32</v>
      </c>
      <c r="W26" s="67">
        <f t="shared" si="11"/>
        <v>0.35606987871369755</v>
      </c>
    </row>
    <row r="27" spans="1:23" ht="20.100000000000001" customHeight="1">
      <c r="A27" s="27" t="s">
        <v>301</v>
      </c>
      <c r="B27" s="6">
        <f>24+4</f>
        <v>28</v>
      </c>
      <c r="C27" s="101">
        <f t="shared" si="1"/>
        <v>0.24598084863392777</v>
      </c>
      <c r="D27" s="6">
        <f>48+10</f>
        <v>58</v>
      </c>
      <c r="E27" s="101">
        <f t="shared" si="2"/>
        <v>0.5590900327742433</v>
      </c>
      <c r="F27" s="6">
        <f>33+6</f>
        <v>39</v>
      </c>
      <c r="G27" s="101">
        <f t="shared" si="3"/>
        <v>0.4167111870926381</v>
      </c>
      <c r="H27" s="6">
        <f>57+15</f>
        <v>72</v>
      </c>
      <c r="I27" s="101">
        <f t="shared" si="4"/>
        <v>0.84033613445378152</v>
      </c>
      <c r="J27" s="6">
        <f>56+15</f>
        <v>71</v>
      </c>
      <c r="K27" s="101">
        <f t="shared" si="5"/>
        <v>0.87309394982784061</v>
      </c>
      <c r="L27" s="6">
        <f>56+7</f>
        <v>63</v>
      </c>
      <c r="M27" s="101">
        <f t="shared" si="6"/>
        <v>0.74573863636363635</v>
      </c>
      <c r="N27" s="6">
        <f>31+12</f>
        <v>43</v>
      </c>
      <c r="O27" s="101">
        <f t="shared" si="7"/>
        <v>0.54128902316213501</v>
      </c>
      <c r="P27" s="6">
        <f>23+3</f>
        <v>26</v>
      </c>
      <c r="Q27" s="101">
        <f t="shared" si="8"/>
        <v>0.33209860774045219</v>
      </c>
      <c r="R27" s="6">
        <f>34+3</f>
        <v>37</v>
      </c>
      <c r="S27" s="101">
        <f t="shared" si="9"/>
        <v>0.42213348545350826</v>
      </c>
      <c r="T27" s="6">
        <v>31</v>
      </c>
      <c r="U27" s="101">
        <f t="shared" si="10"/>
        <v>0.38172638837581579</v>
      </c>
      <c r="V27" s="17">
        <f>23+6</f>
        <v>29</v>
      </c>
      <c r="W27" s="67">
        <f t="shared" si="11"/>
        <v>0.32268832758428839</v>
      </c>
    </row>
    <row r="28" spans="1:23" ht="20.100000000000001" customHeight="1">
      <c r="A28" s="27" t="s">
        <v>329</v>
      </c>
      <c r="B28" s="6">
        <v>16</v>
      </c>
      <c r="C28" s="101">
        <f t="shared" si="1"/>
        <v>0.14056048493367301</v>
      </c>
      <c r="D28" s="6">
        <v>28</v>
      </c>
      <c r="E28" s="101">
        <f t="shared" si="2"/>
        <v>0.26990553306342779</v>
      </c>
      <c r="F28" s="6">
        <v>29</v>
      </c>
      <c r="G28" s="101">
        <f t="shared" si="3"/>
        <v>0.30986216476119244</v>
      </c>
      <c r="H28" s="6">
        <f>31+1</f>
        <v>32</v>
      </c>
      <c r="I28" s="101">
        <f t="shared" si="4"/>
        <v>0.3734827264239029</v>
      </c>
      <c r="J28" s="6">
        <v>28</v>
      </c>
      <c r="K28" s="101">
        <f t="shared" si="5"/>
        <v>0.34431874077717661</v>
      </c>
      <c r="L28" s="6">
        <v>32</v>
      </c>
      <c r="M28" s="101">
        <f t="shared" si="6"/>
        <v>0.37878787878787878</v>
      </c>
      <c r="N28" s="6">
        <f>34+0</f>
        <v>34</v>
      </c>
      <c r="O28" s="101">
        <f t="shared" si="7"/>
        <v>0.42799597180261834</v>
      </c>
      <c r="P28" s="6">
        <f>37+1</f>
        <v>38</v>
      </c>
      <c r="Q28" s="101">
        <f t="shared" si="8"/>
        <v>0.48537488823604547</v>
      </c>
      <c r="R28" s="6">
        <f>30+1</f>
        <v>31</v>
      </c>
      <c r="S28" s="101">
        <f t="shared" si="9"/>
        <v>0.35367940673131776</v>
      </c>
      <c r="T28" s="6">
        <v>12</v>
      </c>
      <c r="U28" s="101">
        <f t="shared" si="10"/>
        <v>0.14776505356483191</v>
      </c>
      <c r="V28" s="17">
        <f>27+2</f>
        <v>29</v>
      </c>
      <c r="W28" s="67">
        <f t="shared" si="11"/>
        <v>0.32268832758428839</v>
      </c>
    </row>
    <row r="29" spans="1:23" ht="20.100000000000001" customHeight="1">
      <c r="A29" s="27" t="s">
        <v>305</v>
      </c>
      <c r="B29" s="6">
        <f>10+9</f>
        <v>19</v>
      </c>
      <c r="C29" s="101">
        <f t="shared" si="1"/>
        <v>0.1669155758587367</v>
      </c>
      <c r="D29" s="6">
        <f>13+3</f>
        <v>16</v>
      </c>
      <c r="E29" s="101">
        <f t="shared" si="2"/>
        <v>0.1542317331791016</v>
      </c>
      <c r="F29" s="6">
        <f>16+3</f>
        <v>19</v>
      </c>
      <c r="G29" s="101">
        <f t="shared" si="3"/>
        <v>0.20301314242974675</v>
      </c>
      <c r="H29" s="6">
        <f>14+3</f>
        <v>17</v>
      </c>
      <c r="I29" s="101">
        <f t="shared" si="4"/>
        <v>0.1984126984126984</v>
      </c>
      <c r="J29" s="6">
        <f>8+4</f>
        <v>12</v>
      </c>
      <c r="K29" s="101">
        <f t="shared" si="5"/>
        <v>0.14756517461878996</v>
      </c>
      <c r="L29" s="6">
        <f>22+1</f>
        <v>23</v>
      </c>
      <c r="M29" s="101">
        <f t="shared" si="6"/>
        <v>0.2722537878787879</v>
      </c>
      <c r="N29" s="6">
        <f>7+2</f>
        <v>9</v>
      </c>
      <c r="O29" s="101">
        <f t="shared" si="7"/>
        <v>0.11329305135951663</v>
      </c>
      <c r="P29" s="6">
        <f>5+3</f>
        <v>8</v>
      </c>
      <c r="Q29" s="101">
        <f t="shared" si="8"/>
        <v>0.10218418699706221</v>
      </c>
      <c r="R29" s="6">
        <f>8+3</f>
        <v>11</v>
      </c>
      <c r="S29" s="101">
        <f t="shared" si="9"/>
        <v>0.12549914432401596</v>
      </c>
      <c r="T29" s="6">
        <v>14</v>
      </c>
      <c r="U29" s="101">
        <f t="shared" si="10"/>
        <v>0.17239256249230389</v>
      </c>
      <c r="V29" s="17">
        <f>19+1</f>
        <v>20</v>
      </c>
      <c r="W29" s="67">
        <f t="shared" si="11"/>
        <v>0.22254367419606097</v>
      </c>
    </row>
    <row r="30" spans="1:23" ht="20.100000000000001" customHeight="1">
      <c r="A30" s="27" t="s">
        <v>304</v>
      </c>
      <c r="B30" s="6">
        <f>31+6</f>
        <v>37</v>
      </c>
      <c r="C30" s="101">
        <f t="shared" si="1"/>
        <v>0.32504612140911882</v>
      </c>
      <c r="D30" s="6">
        <f>27+0</f>
        <v>27</v>
      </c>
      <c r="E30" s="101">
        <f t="shared" si="2"/>
        <v>0.26026604973973394</v>
      </c>
      <c r="F30" s="6">
        <f>21+4</f>
        <v>25</v>
      </c>
      <c r="G30" s="101">
        <f t="shared" si="3"/>
        <v>0.26712255582861416</v>
      </c>
      <c r="H30" s="6">
        <f>27+0</f>
        <v>27</v>
      </c>
      <c r="I30" s="101">
        <f t="shared" si="4"/>
        <v>0.31512605042016806</v>
      </c>
      <c r="J30" s="6">
        <v>23</v>
      </c>
      <c r="K30" s="101">
        <f t="shared" si="5"/>
        <v>0.28283325135268078</v>
      </c>
      <c r="L30" s="6">
        <f>37</f>
        <v>37</v>
      </c>
      <c r="M30" s="101">
        <f t="shared" si="6"/>
        <v>0.43797348484848481</v>
      </c>
      <c r="N30" s="6">
        <f>30+1</f>
        <v>31</v>
      </c>
      <c r="O30" s="101">
        <f t="shared" si="7"/>
        <v>0.39023162134944611</v>
      </c>
      <c r="P30" s="6">
        <f>25+0</f>
        <v>25</v>
      </c>
      <c r="Q30" s="101">
        <f t="shared" si="8"/>
        <v>0.31932558436581937</v>
      </c>
      <c r="R30" s="6">
        <f>29+0</f>
        <v>29</v>
      </c>
      <c r="S30" s="101">
        <f t="shared" si="9"/>
        <v>0.33086138049058755</v>
      </c>
      <c r="T30" s="6">
        <v>23</v>
      </c>
      <c r="U30" s="101">
        <f t="shared" si="10"/>
        <v>0.28321635266592782</v>
      </c>
      <c r="V30" s="17">
        <v>17</v>
      </c>
      <c r="W30" s="67">
        <f t="shared" si="11"/>
        <v>0.18916212306665181</v>
      </c>
    </row>
    <row r="31" spans="1:23" ht="20.100000000000001" customHeight="1">
      <c r="A31" s="27" t="s">
        <v>332</v>
      </c>
      <c r="B31" s="6">
        <v>6</v>
      </c>
      <c r="C31" s="101">
        <f t="shared" si="1"/>
        <v>5.271018185012738E-2</v>
      </c>
      <c r="D31" s="6">
        <f>5+1</f>
        <v>6</v>
      </c>
      <c r="E31" s="101">
        <f t="shared" si="2"/>
        <v>5.7836899942163095E-2</v>
      </c>
      <c r="F31" s="6">
        <f>3+2</f>
        <v>5</v>
      </c>
      <c r="G31" s="101">
        <f t="shared" si="3"/>
        <v>5.3424511165722832E-2</v>
      </c>
      <c r="H31" s="6">
        <f>8+1</f>
        <v>9</v>
      </c>
      <c r="I31" s="101">
        <f t="shared" si="4"/>
        <v>0.10504201680672269</v>
      </c>
      <c r="J31" s="6">
        <f>5+1</f>
        <v>6</v>
      </c>
      <c r="K31" s="101">
        <f t="shared" si="5"/>
        <v>7.3782587309394979E-2</v>
      </c>
      <c r="L31" s="6">
        <f>16+1</f>
        <v>17</v>
      </c>
      <c r="M31" s="101">
        <f t="shared" si="6"/>
        <v>0.20123106060606061</v>
      </c>
      <c r="N31" s="6">
        <f>12+4</f>
        <v>16</v>
      </c>
      <c r="O31" s="101">
        <f t="shared" si="7"/>
        <v>0.2014098690835851</v>
      </c>
      <c r="P31" s="6">
        <f>6+0</f>
        <v>6</v>
      </c>
      <c r="Q31" s="101">
        <f t="shared" si="8"/>
        <v>7.6638140247796652E-2</v>
      </c>
      <c r="R31" s="6">
        <f>8+1</f>
        <v>9</v>
      </c>
      <c r="S31" s="101">
        <f t="shared" si="9"/>
        <v>0.10268111808328578</v>
      </c>
      <c r="T31" s="6">
        <v>11</v>
      </c>
      <c r="U31" s="101">
        <f t="shared" si="10"/>
        <v>0.13545129910109593</v>
      </c>
      <c r="V31" s="17">
        <f>11+4</f>
        <v>15</v>
      </c>
      <c r="W31" s="67">
        <f t="shared" si="11"/>
        <v>0.16690775564704574</v>
      </c>
    </row>
    <row r="32" spans="1:23" ht="20.100000000000001" customHeight="1">
      <c r="A32" s="105" t="s">
        <v>306</v>
      </c>
      <c r="B32" s="6">
        <f>16+4</f>
        <v>20</v>
      </c>
      <c r="C32" s="101">
        <f t="shared" si="1"/>
        <v>0.17570060616709127</v>
      </c>
      <c r="D32" s="6">
        <f>13+3</f>
        <v>16</v>
      </c>
      <c r="E32" s="101">
        <f t="shared" si="2"/>
        <v>0.1542317331791016</v>
      </c>
      <c r="F32" s="6">
        <f>26+2</f>
        <v>28</v>
      </c>
      <c r="G32" s="101">
        <f t="shared" si="3"/>
        <v>0.29917726252804788</v>
      </c>
      <c r="H32" s="6">
        <f>20+9</f>
        <v>29</v>
      </c>
      <c r="I32" s="101">
        <f t="shared" si="4"/>
        <v>0.33846872082166202</v>
      </c>
      <c r="J32" s="6">
        <f>14+4</f>
        <v>18</v>
      </c>
      <c r="K32" s="101">
        <f t="shared" si="5"/>
        <v>0.22134776192818495</v>
      </c>
      <c r="L32" s="6">
        <f>10+6</f>
        <v>16</v>
      </c>
      <c r="M32" s="101">
        <f t="shared" si="6"/>
        <v>0.18939393939393939</v>
      </c>
      <c r="N32" s="6">
        <f>11+4</f>
        <v>15</v>
      </c>
      <c r="O32" s="101">
        <f t="shared" si="7"/>
        <v>0.18882175226586104</v>
      </c>
      <c r="P32" s="6">
        <f>10+1</f>
        <v>11</v>
      </c>
      <c r="Q32" s="101">
        <f t="shared" si="8"/>
        <v>0.14050325712096054</v>
      </c>
      <c r="R32" s="6">
        <f>14+3</f>
        <v>17</v>
      </c>
      <c r="S32" s="101">
        <f t="shared" si="9"/>
        <v>0.19395322304620652</v>
      </c>
      <c r="T32" s="6">
        <v>13</v>
      </c>
      <c r="U32" s="101">
        <f t="shared" si="10"/>
        <v>0.16007880802856791</v>
      </c>
      <c r="V32" s="17">
        <f>9+3</f>
        <v>12</v>
      </c>
      <c r="W32" s="67">
        <f t="shared" si="11"/>
        <v>0.13352620451763658</v>
      </c>
    </row>
    <row r="33" spans="1:23" ht="20.100000000000001" customHeight="1">
      <c r="A33" s="27" t="s">
        <v>310</v>
      </c>
      <c r="B33" s="6">
        <f>9+9</f>
        <v>18</v>
      </c>
      <c r="C33" s="101">
        <f t="shared" si="1"/>
        <v>0.15813054555038217</v>
      </c>
      <c r="D33" s="6">
        <v>12</v>
      </c>
      <c r="E33" s="101">
        <f t="shared" si="2"/>
        <v>0.11567379988432619</v>
      </c>
      <c r="F33" s="6">
        <f>11+15</f>
        <v>26</v>
      </c>
      <c r="G33" s="101">
        <f t="shared" si="3"/>
        <v>0.27780745806175872</v>
      </c>
      <c r="H33" s="6">
        <f>9+7</f>
        <v>16</v>
      </c>
      <c r="I33" s="101">
        <f t="shared" si="4"/>
        <v>0.18674136321195145</v>
      </c>
      <c r="J33" s="6">
        <f>4+6</f>
        <v>10</v>
      </c>
      <c r="K33" s="101">
        <f t="shared" si="5"/>
        <v>0.12297097884899164</v>
      </c>
      <c r="L33" s="6">
        <f>9+4</f>
        <v>13</v>
      </c>
      <c r="M33" s="101">
        <f t="shared" si="6"/>
        <v>0.15388257575757575</v>
      </c>
      <c r="N33" s="6">
        <f>3+6</f>
        <v>9</v>
      </c>
      <c r="O33" s="101">
        <f t="shared" si="7"/>
        <v>0.11329305135951663</v>
      </c>
      <c r="P33" s="6">
        <f>6+5</f>
        <v>11</v>
      </c>
      <c r="Q33" s="101">
        <f t="shared" si="8"/>
        <v>0.14050325712096054</v>
      </c>
      <c r="R33" s="6">
        <f>7+5</f>
        <v>12</v>
      </c>
      <c r="S33" s="101">
        <f t="shared" si="9"/>
        <v>0.13690815744438106</v>
      </c>
      <c r="T33" s="6">
        <v>6</v>
      </c>
      <c r="U33" s="101">
        <f t="shared" si="10"/>
        <v>7.3882526782415955E-2</v>
      </c>
      <c r="V33" s="17">
        <f>5+5</f>
        <v>10</v>
      </c>
      <c r="W33" s="67">
        <f t="shared" si="11"/>
        <v>0.11127183709803048</v>
      </c>
    </row>
    <row r="34" spans="1:23" ht="20.100000000000001" customHeight="1">
      <c r="A34" s="27" t="s">
        <v>308</v>
      </c>
      <c r="B34" s="6">
        <f>39+4</f>
        <v>43</v>
      </c>
      <c r="C34" s="101">
        <f t="shared" si="1"/>
        <v>0.37775630325924625</v>
      </c>
      <c r="D34" s="6">
        <f>31+2</f>
        <v>33</v>
      </c>
      <c r="E34" s="101">
        <f t="shared" si="2"/>
        <v>0.31810294968189706</v>
      </c>
      <c r="F34" s="6">
        <f>13+6</f>
        <v>19</v>
      </c>
      <c r="G34" s="101">
        <f t="shared" si="3"/>
        <v>0.20301314242974675</v>
      </c>
      <c r="H34" s="6">
        <f>23+3</f>
        <v>26</v>
      </c>
      <c r="I34" s="101">
        <f t="shared" si="4"/>
        <v>0.30345471521942113</v>
      </c>
      <c r="J34" s="6">
        <f>10+2</f>
        <v>12</v>
      </c>
      <c r="K34" s="101">
        <f t="shared" si="5"/>
        <v>0.14756517461878996</v>
      </c>
      <c r="L34" s="6">
        <f>22+0</f>
        <v>22</v>
      </c>
      <c r="M34" s="101">
        <f t="shared" si="6"/>
        <v>0.26041666666666663</v>
      </c>
      <c r="N34" s="6">
        <f>15+1</f>
        <v>16</v>
      </c>
      <c r="O34" s="101">
        <f t="shared" si="7"/>
        <v>0.2014098690835851</v>
      </c>
      <c r="P34" s="6">
        <f>11+1</f>
        <v>12</v>
      </c>
      <c r="Q34" s="101">
        <f t="shared" si="8"/>
        <v>0.1532762804955933</v>
      </c>
      <c r="R34" s="6">
        <f>15+1</f>
        <v>16</v>
      </c>
      <c r="S34" s="101">
        <f t="shared" si="9"/>
        <v>0.18254420992584142</v>
      </c>
      <c r="T34" s="6">
        <v>8</v>
      </c>
      <c r="U34" s="101">
        <f t="shared" si="10"/>
        <v>9.8510035709887936E-2</v>
      </c>
      <c r="V34" s="17">
        <v>9</v>
      </c>
      <c r="W34" s="67">
        <f t="shared" si="11"/>
        <v>0.10014465338822744</v>
      </c>
    </row>
    <row r="35" spans="1:23" ht="20.100000000000001" customHeight="1">
      <c r="A35" s="27" t="s">
        <v>309</v>
      </c>
      <c r="B35" s="6">
        <v>2</v>
      </c>
      <c r="C35" s="101">
        <f t="shared" si="1"/>
        <v>1.7570060616709127E-2</v>
      </c>
      <c r="D35" s="6">
        <v>7</v>
      </c>
      <c r="E35" s="101">
        <f t="shared" si="2"/>
        <v>6.7476383265856948E-2</v>
      </c>
      <c r="F35" s="6">
        <v>11</v>
      </c>
      <c r="G35" s="101">
        <f t="shared" si="3"/>
        <v>0.11753392456459023</v>
      </c>
      <c r="H35" s="6">
        <v>1</v>
      </c>
      <c r="I35" s="101">
        <f t="shared" si="4"/>
        <v>1.1671335200746966E-2</v>
      </c>
      <c r="J35" s="6">
        <f>4+1</f>
        <v>5</v>
      </c>
      <c r="K35" s="101">
        <f t="shared" si="5"/>
        <v>6.1485489424495818E-2</v>
      </c>
      <c r="L35" s="6">
        <v>7</v>
      </c>
      <c r="M35" s="101">
        <f t="shared" si="6"/>
        <v>8.2859848484848481E-2</v>
      </c>
      <c r="N35" s="6">
        <f>2+1</f>
        <v>3</v>
      </c>
      <c r="O35" s="101">
        <f t="shared" si="7"/>
        <v>3.7764350453172203E-2</v>
      </c>
      <c r="P35" s="6">
        <f>5+0</f>
        <v>5</v>
      </c>
      <c r="Q35" s="101">
        <f t="shared" si="8"/>
        <v>6.3865116873163874E-2</v>
      </c>
      <c r="R35" s="6">
        <f>7+0</f>
        <v>7</v>
      </c>
      <c r="S35" s="101">
        <f t="shared" si="9"/>
        <v>7.986309184255562E-2</v>
      </c>
      <c r="T35" s="6">
        <v>6</v>
      </c>
      <c r="U35" s="101">
        <f t="shared" si="10"/>
        <v>7.3882526782415955E-2</v>
      </c>
      <c r="V35" s="17">
        <v>9</v>
      </c>
      <c r="W35" s="67">
        <f t="shared" si="11"/>
        <v>0.10014465338822744</v>
      </c>
    </row>
    <row r="36" spans="1:23" ht="20.100000000000001" customHeight="1">
      <c r="A36" s="105" t="s">
        <v>307</v>
      </c>
      <c r="B36" s="6">
        <f>9+2</f>
        <v>11</v>
      </c>
      <c r="C36" s="101">
        <f t="shared" si="1"/>
        <v>9.6635333391900197E-2</v>
      </c>
      <c r="D36" s="6">
        <v>2</v>
      </c>
      <c r="E36" s="101">
        <f t="shared" si="2"/>
        <v>1.9278966647387701E-2</v>
      </c>
      <c r="F36" s="6">
        <f>8+1</f>
        <v>9</v>
      </c>
      <c r="G36" s="101">
        <f t="shared" si="3"/>
        <v>9.6164120098301095E-2</v>
      </c>
      <c r="H36" s="6">
        <f>6+1</f>
        <v>7</v>
      </c>
      <c r="I36" s="101">
        <f t="shared" si="4"/>
        <v>8.1699346405228759E-2</v>
      </c>
      <c r="J36" s="6">
        <f>15+2</f>
        <v>17</v>
      </c>
      <c r="K36" s="101">
        <f t="shared" si="5"/>
        <v>0.20905066404328579</v>
      </c>
      <c r="L36" s="6">
        <f>5+1</f>
        <v>6</v>
      </c>
      <c r="M36" s="101">
        <f t="shared" si="6"/>
        <v>7.1022727272727279E-2</v>
      </c>
      <c r="N36" s="6">
        <f>6+3</f>
        <v>9</v>
      </c>
      <c r="O36" s="101">
        <f t="shared" si="7"/>
        <v>0.11329305135951663</v>
      </c>
      <c r="P36" s="6">
        <f>7+0</f>
        <v>7</v>
      </c>
      <c r="Q36" s="101">
        <f t="shared" si="8"/>
        <v>8.9411163622429429E-2</v>
      </c>
      <c r="R36" s="6">
        <f>5+3</f>
        <v>8</v>
      </c>
      <c r="S36" s="101">
        <f t="shared" si="9"/>
        <v>9.1272104962920708E-2</v>
      </c>
      <c r="T36" s="6">
        <v>12</v>
      </c>
      <c r="U36" s="101">
        <f t="shared" si="10"/>
        <v>0.14776505356483191</v>
      </c>
      <c r="V36" s="17">
        <v>8</v>
      </c>
      <c r="W36" s="67">
        <f t="shared" si="11"/>
        <v>8.9017469678424388E-2</v>
      </c>
    </row>
    <row r="37" spans="1:23" ht="20.100000000000001" customHeight="1">
      <c r="A37" s="27" t="s">
        <v>313</v>
      </c>
      <c r="B37" s="6">
        <f>1+8</f>
        <v>9</v>
      </c>
      <c r="C37" s="101">
        <f t="shared" ref="C37:C68" si="12">IFERROR(B37/B$4*100,"-")</f>
        <v>7.9065272775191084E-2</v>
      </c>
      <c r="D37" s="6">
        <f>4+12</f>
        <v>16</v>
      </c>
      <c r="E37" s="101">
        <f t="shared" ref="E37:E68" si="13">IFERROR(D37/D$4*100,"-")</f>
        <v>0.1542317331791016</v>
      </c>
      <c r="F37" s="6">
        <f>3+10</f>
        <v>13</v>
      </c>
      <c r="G37" s="101">
        <f t="shared" ref="G37:G68" si="14">IFERROR(F37/F$4*100,"-")</f>
        <v>0.13890372903087936</v>
      </c>
      <c r="H37" s="6">
        <f>5+5</f>
        <v>10</v>
      </c>
      <c r="I37" s="101">
        <f t="shared" ref="I37:I68" si="15">IFERROR(H37/H$4*100,"-")</f>
        <v>0.11671335200746966</v>
      </c>
      <c r="J37" s="6">
        <f>1+8</f>
        <v>9</v>
      </c>
      <c r="K37" s="101">
        <f t="shared" ref="K37:K68" si="16">IFERROR(J37/J$4*100,"-")</f>
        <v>0.11067388096409247</v>
      </c>
      <c r="L37" s="6">
        <f>1+11</f>
        <v>12</v>
      </c>
      <c r="M37" s="101">
        <f t="shared" ref="M37:M68" si="17">IFERROR(L37/L$4*100,"-")</f>
        <v>0.14204545454545456</v>
      </c>
      <c r="N37" s="6">
        <f>3+1</f>
        <v>4</v>
      </c>
      <c r="O37" s="101">
        <f t="shared" ref="O37:O68" si="18">IFERROR(N37/N$4*100,"-")</f>
        <v>5.0352467270896276E-2</v>
      </c>
      <c r="P37" s="6">
        <f>3+4</f>
        <v>7</v>
      </c>
      <c r="Q37" s="101">
        <f t="shared" ref="Q37:Q68" si="19">IFERROR(P37/P$4*100,"-")</f>
        <v>8.9411163622429429E-2</v>
      </c>
      <c r="R37" s="6">
        <f>1+2</f>
        <v>3</v>
      </c>
      <c r="S37" s="101">
        <f t="shared" ref="S37:S68" si="20">IFERROR(R37/R$4*100,"-")</f>
        <v>3.4227039361095266E-2</v>
      </c>
      <c r="T37" s="6">
        <v>2</v>
      </c>
      <c r="U37" s="101">
        <f t="shared" ref="U37:U68" si="21">IFERROR(T37/T$4*100,"-")</f>
        <v>2.4627508927471984E-2</v>
      </c>
      <c r="V37" s="17">
        <f>2+3</f>
        <v>5</v>
      </c>
      <c r="W37" s="67">
        <f t="shared" si="11"/>
        <v>5.5635918549015242E-2</v>
      </c>
    </row>
    <row r="38" spans="1:23" ht="20.100000000000001" customHeight="1">
      <c r="A38" s="27" t="s">
        <v>331</v>
      </c>
      <c r="B38" s="6" t="s">
        <v>9</v>
      </c>
      <c r="C38" s="101" t="str">
        <f t="shared" si="12"/>
        <v>-</v>
      </c>
      <c r="D38" s="6" t="s">
        <v>9</v>
      </c>
      <c r="E38" s="101" t="str">
        <f t="shared" si="13"/>
        <v>-</v>
      </c>
      <c r="F38" s="6" t="s">
        <v>9</v>
      </c>
      <c r="G38" s="101" t="str">
        <f t="shared" si="14"/>
        <v>-</v>
      </c>
      <c r="H38" s="6">
        <v>1</v>
      </c>
      <c r="I38" s="101">
        <f t="shared" si="15"/>
        <v>1.1671335200746966E-2</v>
      </c>
      <c r="J38" s="6">
        <v>2</v>
      </c>
      <c r="K38" s="101">
        <f t="shared" si="16"/>
        <v>2.4594195769798325E-2</v>
      </c>
      <c r="L38" s="6">
        <v>2</v>
      </c>
      <c r="M38" s="101">
        <f t="shared" si="17"/>
        <v>2.3674242424242424E-2</v>
      </c>
      <c r="N38" s="6" t="s">
        <v>9</v>
      </c>
      <c r="O38" s="101" t="str">
        <f t="shared" si="18"/>
        <v>-</v>
      </c>
      <c r="P38" s="6" t="s">
        <v>9</v>
      </c>
      <c r="Q38" s="101" t="str">
        <f t="shared" si="19"/>
        <v>-</v>
      </c>
      <c r="R38" s="6">
        <f>4+0</f>
        <v>4</v>
      </c>
      <c r="S38" s="101">
        <f t="shared" si="20"/>
        <v>4.5636052481460354E-2</v>
      </c>
      <c r="T38" s="6" t="s">
        <v>77</v>
      </c>
      <c r="U38" s="101" t="str">
        <f t="shared" si="21"/>
        <v>-</v>
      </c>
      <c r="V38" s="17">
        <f>3+2</f>
        <v>5</v>
      </c>
      <c r="W38" s="67">
        <f t="shared" si="11"/>
        <v>5.5635918549015242E-2</v>
      </c>
    </row>
    <row r="39" spans="1:23" ht="20.100000000000001" customHeight="1">
      <c r="A39" s="27" t="s">
        <v>312</v>
      </c>
      <c r="B39" s="6">
        <f>2+2</f>
        <v>4</v>
      </c>
      <c r="C39" s="101">
        <f t="shared" si="12"/>
        <v>3.5140121233418253E-2</v>
      </c>
      <c r="D39" s="6">
        <v>16</v>
      </c>
      <c r="E39" s="101">
        <f t="shared" si="13"/>
        <v>0.1542317331791016</v>
      </c>
      <c r="F39" s="6">
        <f>7+4</f>
        <v>11</v>
      </c>
      <c r="G39" s="101">
        <f t="shared" si="14"/>
        <v>0.11753392456459023</v>
      </c>
      <c r="H39" s="6">
        <f>4+1</f>
        <v>5</v>
      </c>
      <c r="I39" s="101">
        <f t="shared" si="15"/>
        <v>5.8356676003734828E-2</v>
      </c>
      <c r="J39" s="6">
        <v>5</v>
      </c>
      <c r="K39" s="101">
        <f t="shared" si="16"/>
        <v>6.1485489424495818E-2</v>
      </c>
      <c r="L39" s="6">
        <f>2+3</f>
        <v>5</v>
      </c>
      <c r="M39" s="101">
        <f t="shared" si="17"/>
        <v>5.9185606060606064E-2</v>
      </c>
      <c r="N39" s="6">
        <f>5+0</f>
        <v>5</v>
      </c>
      <c r="O39" s="101">
        <f t="shared" si="18"/>
        <v>6.2940584088620341E-2</v>
      </c>
      <c r="P39" s="6">
        <f>4+1</f>
        <v>5</v>
      </c>
      <c r="Q39" s="101">
        <f t="shared" si="19"/>
        <v>6.3865116873163874E-2</v>
      </c>
      <c r="R39" s="6">
        <f>4+1</f>
        <v>5</v>
      </c>
      <c r="S39" s="101">
        <f t="shared" si="20"/>
        <v>5.7045065601825436E-2</v>
      </c>
      <c r="T39" s="6">
        <v>2</v>
      </c>
      <c r="U39" s="101">
        <f t="shared" si="21"/>
        <v>2.4627508927471984E-2</v>
      </c>
      <c r="V39" s="17">
        <v>3</v>
      </c>
      <c r="W39" s="67">
        <f t="shared" si="11"/>
        <v>3.3381551129409145E-2</v>
      </c>
    </row>
    <row r="40" spans="1:23" ht="20.100000000000001" customHeight="1">
      <c r="A40" s="27" t="s">
        <v>334</v>
      </c>
      <c r="B40" s="6" t="s">
        <v>9</v>
      </c>
      <c r="C40" s="101" t="str">
        <f t="shared" si="12"/>
        <v>-</v>
      </c>
      <c r="D40" s="6" t="s">
        <v>9</v>
      </c>
      <c r="E40" s="101" t="str">
        <f t="shared" si="13"/>
        <v>-</v>
      </c>
      <c r="F40" s="6" t="s">
        <v>9</v>
      </c>
      <c r="G40" s="101" t="str">
        <f t="shared" si="14"/>
        <v>-</v>
      </c>
      <c r="H40" s="6">
        <v>4</v>
      </c>
      <c r="I40" s="101">
        <f t="shared" si="15"/>
        <v>4.6685340802987862E-2</v>
      </c>
      <c r="J40" s="6" t="s">
        <v>9</v>
      </c>
      <c r="K40" s="101" t="str">
        <f t="shared" si="16"/>
        <v>-</v>
      </c>
      <c r="L40" s="6" t="s">
        <v>9</v>
      </c>
      <c r="M40" s="101" t="str">
        <f t="shared" si="17"/>
        <v>-</v>
      </c>
      <c r="N40" s="6">
        <v>2</v>
      </c>
      <c r="O40" s="101">
        <f t="shared" si="18"/>
        <v>2.5176233635448138E-2</v>
      </c>
      <c r="P40" s="6" t="s">
        <v>9</v>
      </c>
      <c r="Q40" s="101" t="str">
        <f t="shared" si="19"/>
        <v>-</v>
      </c>
      <c r="R40" s="6">
        <f>1+0</f>
        <v>1</v>
      </c>
      <c r="S40" s="101">
        <f t="shared" si="20"/>
        <v>1.1409013120365089E-2</v>
      </c>
      <c r="T40" s="6">
        <v>1</v>
      </c>
      <c r="U40" s="101">
        <f t="shared" si="21"/>
        <v>1.2313754463735992E-2</v>
      </c>
      <c r="V40" s="17">
        <v>3</v>
      </c>
      <c r="W40" s="67">
        <f t="shared" si="11"/>
        <v>3.3381551129409145E-2</v>
      </c>
    </row>
    <row r="41" spans="1:23" ht="20.100000000000001" customHeight="1">
      <c r="A41" s="27" t="s">
        <v>342</v>
      </c>
      <c r="B41" s="6" t="s">
        <v>9</v>
      </c>
      <c r="C41" s="101" t="str">
        <f t="shared" si="12"/>
        <v>-</v>
      </c>
      <c r="D41" s="6" t="s">
        <v>9</v>
      </c>
      <c r="E41" s="101" t="str">
        <f t="shared" si="13"/>
        <v>-</v>
      </c>
      <c r="F41" s="6" t="s">
        <v>9</v>
      </c>
      <c r="G41" s="101" t="str">
        <f t="shared" si="14"/>
        <v>-</v>
      </c>
      <c r="H41" s="6" t="s">
        <v>9</v>
      </c>
      <c r="I41" s="101" t="str">
        <f t="shared" si="15"/>
        <v>-</v>
      </c>
      <c r="J41" s="6">
        <v>2</v>
      </c>
      <c r="K41" s="101">
        <f t="shared" si="16"/>
        <v>2.4594195769798325E-2</v>
      </c>
      <c r="L41" s="6" t="s">
        <v>9</v>
      </c>
      <c r="M41" s="101" t="str">
        <f t="shared" si="17"/>
        <v>-</v>
      </c>
      <c r="N41" s="6" t="s">
        <v>9</v>
      </c>
      <c r="O41" s="101" t="str">
        <f t="shared" si="18"/>
        <v>-</v>
      </c>
      <c r="P41" s="6" t="s">
        <v>9</v>
      </c>
      <c r="Q41" s="101" t="str">
        <f t="shared" si="19"/>
        <v>-</v>
      </c>
      <c r="R41" s="6" t="s">
        <v>77</v>
      </c>
      <c r="S41" s="101" t="str">
        <f t="shared" si="20"/>
        <v>-</v>
      </c>
      <c r="T41" s="6">
        <v>2</v>
      </c>
      <c r="U41" s="101">
        <f t="shared" si="21"/>
        <v>2.4627508927471984E-2</v>
      </c>
      <c r="V41" s="17">
        <v>3</v>
      </c>
      <c r="W41" s="67">
        <f t="shared" si="11"/>
        <v>3.3381551129409145E-2</v>
      </c>
    </row>
    <row r="42" spans="1:23" ht="33">
      <c r="A42" s="98" t="s">
        <v>347</v>
      </c>
      <c r="B42" s="6" t="s">
        <v>9</v>
      </c>
      <c r="C42" s="101" t="str">
        <f t="shared" si="12"/>
        <v>-</v>
      </c>
      <c r="D42" s="6" t="s">
        <v>9</v>
      </c>
      <c r="E42" s="101" t="str">
        <f t="shared" si="13"/>
        <v>-</v>
      </c>
      <c r="F42" s="6" t="s">
        <v>9</v>
      </c>
      <c r="G42" s="101" t="str">
        <f t="shared" si="14"/>
        <v>-</v>
      </c>
      <c r="H42" s="6" t="s">
        <v>9</v>
      </c>
      <c r="I42" s="101" t="str">
        <f t="shared" si="15"/>
        <v>-</v>
      </c>
      <c r="J42" s="6" t="s">
        <v>9</v>
      </c>
      <c r="K42" s="101" t="str">
        <f t="shared" si="16"/>
        <v>-</v>
      </c>
      <c r="L42" s="6" t="s">
        <v>9</v>
      </c>
      <c r="M42" s="101" t="str">
        <f t="shared" si="17"/>
        <v>-</v>
      </c>
      <c r="N42" s="6" t="s">
        <v>9</v>
      </c>
      <c r="O42" s="101" t="str">
        <f t="shared" si="18"/>
        <v>-</v>
      </c>
      <c r="P42" s="6" t="s">
        <v>9</v>
      </c>
      <c r="Q42" s="101" t="str">
        <f t="shared" si="19"/>
        <v>-</v>
      </c>
      <c r="R42" s="6">
        <v>2</v>
      </c>
      <c r="S42" s="101">
        <f t="shared" si="20"/>
        <v>2.2818026240730177E-2</v>
      </c>
      <c r="T42" s="6">
        <v>5</v>
      </c>
      <c r="U42" s="101">
        <f t="shared" si="21"/>
        <v>6.1568772318679965E-2</v>
      </c>
      <c r="V42" s="17">
        <v>3</v>
      </c>
      <c r="W42" s="67">
        <f t="shared" si="11"/>
        <v>3.3381551129409145E-2</v>
      </c>
    </row>
    <row r="43" spans="1:23" ht="20.100000000000001" customHeight="1">
      <c r="A43" s="98" t="s">
        <v>616</v>
      </c>
      <c r="B43" s="6" t="s">
        <v>9</v>
      </c>
      <c r="C43" s="101" t="str">
        <f t="shared" si="12"/>
        <v>-</v>
      </c>
      <c r="D43" s="6" t="s">
        <v>9</v>
      </c>
      <c r="E43" s="101" t="str">
        <f t="shared" si="13"/>
        <v>-</v>
      </c>
      <c r="F43" s="6" t="s">
        <v>9</v>
      </c>
      <c r="G43" s="101" t="str">
        <f t="shared" si="14"/>
        <v>-</v>
      </c>
      <c r="H43" s="6" t="s">
        <v>9</v>
      </c>
      <c r="I43" s="101" t="str">
        <f t="shared" si="15"/>
        <v>-</v>
      </c>
      <c r="J43" s="6" t="s">
        <v>9</v>
      </c>
      <c r="K43" s="101" t="str">
        <f t="shared" si="16"/>
        <v>-</v>
      </c>
      <c r="L43" s="6" t="s">
        <v>280</v>
      </c>
      <c r="M43" s="101" t="str">
        <f t="shared" si="17"/>
        <v>-</v>
      </c>
      <c r="N43" s="6" t="s">
        <v>280</v>
      </c>
      <c r="O43" s="101" t="str">
        <f t="shared" si="18"/>
        <v>-</v>
      </c>
      <c r="P43" s="6" t="s">
        <v>9</v>
      </c>
      <c r="Q43" s="101" t="str">
        <f t="shared" si="19"/>
        <v>-</v>
      </c>
      <c r="R43" s="6" t="s">
        <v>77</v>
      </c>
      <c r="S43" s="101" t="str">
        <f t="shared" si="20"/>
        <v>-</v>
      </c>
      <c r="T43" s="6" t="s">
        <v>77</v>
      </c>
      <c r="U43" s="101" t="str">
        <f t="shared" si="21"/>
        <v>-</v>
      </c>
      <c r="V43" s="17">
        <v>3</v>
      </c>
      <c r="W43" s="67">
        <f t="shared" si="11"/>
        <v>3.3381551129409145E-2</v>
      </c>
    </row>
    <row r="44" spans="1:23" ht="20.100000000000001" customHeight="1">
      <c r="A44" s="27" t="s">
        <v>315</v>
      </c>
      <c r="B44" s="6">
        <v>1</v>
      </c>
      <c r="C44" s="101">
        <f t="shared" si="12"/>
        <v>8.7850303083545633E-3</v>
      </c>
      <c r="D44" s="6" t="s">
        <v>9</v>
      </c>
      <c r="E44" s="101" t="str">
        <f t="shared" si="13"/>
        <v>-</v>
      </c>
      <c r="F44" s="6" t="s">
        <v>9</v>
      </c>
      <c r="G44" s="101" t="str">
        <f t="shared" si="14"/>
        <v>-</v>
      </c>
      <c r="H44" s="6">
        <v>1</v>
      </c>
      <c r="I44" s="101">
        <f t="shared" si="15"/>
        <v>1.1671335200746966E-2</v>
      </c>
      <c r="J44" s="6">
        <v>1</v>
      </c>
      <c r="K44" s="101">
        <f t="shared" si="16"/>
        <v>1.2297097884899163E-2</v>
      </c>
      <c r="L44" s="6" t="s">
        <v>9</v>
      </c>
      <c r="M44" s="101" t="str">
        <f t="shared" si="17"/>
        <v>-</v>
      </c>
      <c r="N44" s="6" t="s">
        <v>9</v>
      </c>
      <c r="O44" s="101" t="str">
        <f t="shared" si="18"/>
        <v>-</v>
      </c>
      <c r="P44" s="6" t="s">
        <v>9</v>
      </c>
      <c r="Q44" s="101" t="str">
        <f t="shared" si="19"/>
        <v>-</v>
      </c>
      <c r="R44" s="6">
        <f>1+0</f>
        <v>1</v>
      </c>
      <c r="S44" s="101">
        <f t="shared" si="20"/>
        <v>1.1409013120365089E-2</v>
      </c>
      <c r="T44" s="6">
        <v>1</v>
      </c>
      <c r="U44" s="101">
        <f t="shared" si="21"/>
        <v>1.2313754463735992E-2</v>
      </c>
      <c r="V44" s="17">
        <v>2</v>
      </c>
      <c r="W44" s="67">
        <f t="shared" si="11"/>
        <v>2.2254367419606097E-2</v>
      </c>
    </row>
    <row r="45" spans="1:23" ht="20.100000000000001" customHeight="1">
      <c r="A45" s="27" t="s">
        <v>339</v>
      </c>
      <c r="B45" s="6">
        <f>6+3</f>
        <v>9</v>
      </c>
      <c r="C45" s="101">
        <f t="shared" si="12"/>
        <v>7.9065272775191084E-2</v>
      </c>
      <c r="D45" s="6">
        <f>1+1</f>
        <v>2</v>
      </c>
      <c r="E45" s="101">
        <f t="shared" si="13"/>
        <v>1.9278966647387701E-2</v>
      </c>
      <c r="F45" s="6">
        <f>1+2</f>
        <v>3</v>
      </c>
      <c r="G45" s="101">
        <f t="shared" si="14"/>
        <v>3.2054706699433701E-2</v>
      </c>
      <c r="H45" s="6">
        <v>1</v>
      </c>
      <c r="I45" s="101">
        <f t="shared" si="15"/>
        <v>1.1671335200746966E-2</v>
      </c>
      <c r="J45" s="6">
        <v>1</v>
      </c>
      <c r="K45" s="101">
        <f t="shared" si="16"/>
        <v>1.2297097884899163E-2</v>
      </c>
      <c r="L45" s="6" t="s">
        <v>9</v>
      </c>
      <c r="M45" s="101" t="str">
        <f t="shared" si="17"/>
        <v>-</v>
      </c>
      <c r="N45" s="6">
        <f>1+1</f>
        <v>2</v>
      </c>
      <c r="O45" s="101">
        <f t="shared" si="18"/>
        <v>2.5176233635448138E-2</v>
      </c>
      <c r="P45" s="6">
        <f>0+1</f>
        <v>1</v>
      </c>
      <c r="Q45" s="101">
        <f t="shared" si="19"/>
        <v>1.2773023374632776E-2</v>
      </c>
      <c r="R45" s="6">
        <f>1+0</f>
        <v>1</v>
      </c>
      <c r="S45" s="101">
        <f t="shared" si="20"/>
        <v>1.1409013120365089E-2</v>
      </c>
      <c r="T45" s="6" t="s">
        <v>77</v>
      </c>
      <c r="U45" s="101" t="str">
        <f t="shared" si="21"/>
        <v>-</v>
      </c>
      <c r="V45" s="17">
        <v>2</v>
      </c>
      <c r="W45" s="67">
        <f t="shared" si="11"/>
        <v>2.2254367419606097E-2</v>
      </c>
    </row>
    <row r="46" spans="1:23" ht="20.100000000000001" customHeight="1">
      <c r="A46" s="98" t="s">
        <v>265</v>
      </c>
      <c r="B46" s="6" t="s">
        <v>9</v>
      </c>
      <c r="C46" s="101" t="str">
        <f t="shared" si="12"/>
        <v>-</v>
      </c>
      <c r="D46" s="6" t="s">
        <v>9</v>
      </c>
      <c r="E46" s="101" t="str">
        <f t="shared" si="13"/>
        <v>-</v>
      </c>
      <c r="F46" s="6" t="s">
        <v>9</v>
      </c>
      <c r="G46" s="101" t="str">
        <f t="shared" si="14"/>
        <v>-</v>
      </c>
      <c r="H46" s="6" t="s">
        <v>9</v>
      </c>
      <c r="I46" s="101" t="str">
        <f t="shared" si="15"/>
        <v>-</v>
      </c>
      <c r="J46" s="6" t="s">
        <v>9</v>
      </c>
      <c r="K46" s="101" t="str">
        <f t="shared" si="16"/>
        <v>-</v>
      </c>
      <c r="L46" s="6" t="s">
        <v>280</v>
      </c>
      <c r="M46" s="101" t="str">
        <f t="shared" si="17"/>
        <v>-</v>
      </c>
      <c r="N46" s="6" t="s">
        <v>280</v>
      </c>
      <c r="O46" s="101" t="str">
        <f t="shared" si="18"/>
        <v>-</v>
      </c>
      <c r="P46" s="6" t="s">
        <v>9</v>
      </c>
      <c r="Q46" s="101" t="str">
        <f t="shared" si="19"/>
        <v>-</v>
      </c>
      <c r="R46" s="6" t="s">
        <v>77</v>
      </c>
      <c r="S46" s="101" t="str">
        <f t="shared" si="20"/>
        <v>-</v>
      </c>
      <c r="T46" s="6" t="s">
        <v>77</v>
      </c>
      <c r="U46" s="101" t="str">
        <f t="shared" si="21"/>
        <v>-</v>
      </c>
      <c r="V46" s="17">
        <v>2</v>
      </c>
      <c r="W46" s="67">
        <f t="shared" si="11"/>
        <v>2.2254367419606097E-2</v>
      </c>
    </row>
    <row r="47" spans="1:23" ht="20.100000000000001" customHeight="1">
      <c r="A47" s="27" t="s">
        <v>311</v>
      </c>
      <c r="B47" s="6">
        <f>13+2</f>
        <v>15</v>
      </c>
      <c r="C47" s="101">
        <f t="shared" si="12"/>
        <v>0.13177545462531845</v>
      </c>
      <c r="D47" s="6">
        <f>10+7</f>
        <v>17</v>
      </c>
      <c r="E47" s="101">
        <f t="shared" si="13"/>
        <v>0.16387121650279546</v>
      </c>
      <c r="F47" s="6">
        <f>8+1</f>
        <v>9</v>
      </c>
      <c r="G47" s="101">
        <f t="shared" si="14"/>
        <v>9.6164120098301095E-2</v>
      </c>
      <c r="H47" s="6">
        <f>2+1</f>
        <v>3</v>
      </c>
      <c r="I47" s="101">
        <f t="shared" si="15"/>
        <v>3.5014005602240897E-2</v>
      </c>
      <c r="J47" s="6">
        <f>7+1</f>
        <v>8</v>
      </c>
      <c r="K47" s="101">
        <f t="shared" si="16"/>
        <v>9.83767830791933E-2</v>
      </c>
      <c r="L47" s="6">
        <f>6+0</f>
        <v>6</v>
      </c>
      <c r="M47" s="101">
        <f t="shared" si="17"/>
        <v>7.1022727272727279E-2</v>
      </c>
      <c r="N47" s="6">
        <v>2</v>
      </c>
      <c r="O47" s="101">
        <f t="shared" si="18"/>
        <v>2.5176233635448138E-2</v>
      </c>
      <c r="P47" s="6">
        <f>3+2</f>
        <v>5</v>
      </c>
      <c r="Q47" s="101">
        <f t="shared" si="19"/>
        <v>6.3865116873163874E-2</v>
      </c>
      <c r="R47" s="6">
        <f>2+1</f>
        <v>3</v>
      </c>
      <c r="S47" s="101">
        <f t="shared" si="20"/>
        <v>3.4227039361095266E-2</v>
      </c>
      <c r="T47" s="6">
        <v>3</v>
      </c>
      <c r="U47" s="101">
        <f t="shared" si="21"/>
        <v>3.6941263391207978E-2</v>
      </c>
      <c r="V47" s="17">
        <v>1</v>
      </c>
      <c r="W47" s="67">
        <f t="shared" si="11"/>
        <v>1.1127183709803048E-2</v>
      </c>
    </row>
    <row r="48" spans="1:23" ht="20.100000000000001" customHeight="1">
      <c r="A48" s="27" t="s">
        <v>316</v>
      </c>
      <c r="B48" s="6" t="s">
        <v>9</v>
      </c>
      <c r="C48" s="101" t="str">
        <f t="shared" si="12"/>
        <v>-</v>
      </c>
      <c r="D48" s="6" t="s">
        <v>9</v>
      </c>
      <c r="E48" s="101" t="str">
        <f t="shared" si="13"/>
        <v>-</v>
      </c>
      <c r="F48" s="6">
        <v>5</v>
      </c>
      <c r="G48" s="101">
        <f t="shared" si="14"/>
        <v>5.3424511165722832E-2</v>
      </c>
      <c r="H48" s="6">
        <v>3</v>
      </c>
      <c r="I48" s="101">
        <f t="shared" si="15"/>
        <v>3.5014005602240897E-2</v>
      </c>
      <c r="J48" s="6">
        <f>1+1</f>
        <v>2</v>
      </c>
      <c r="K48" s="101">
        <f t="shared" si="16"/>
        <v>2.4594195769798325E-2</v>
      </c>
      <c r="L48" s="6">
        <v>1</v>
      </c>
      <c r="M48" s="101">
        <f t="shared" si="17"/>
        <v>1.1837121212121212E-2</v>
      </c>
      <c r="N48" s="6">
        <v>3</v>
      </c>
      <c r="O48" s="101">
        <f t="shared" si="18"/>
        <v>3.7764350453172203E-2</v>
      </c>
      <c r="P48" s="6" t="s">
        <v>9</v>
      </c>
      <c r="Q48" s="101" t="str">
        <f t="shared" si="19"/>
        <v>-</v>
      </c>
      <c r="R48" s="6" t="s">
        <v>77</v>
      </c>
      <c r="S48" s="101" t="str">
        <f t="shared" si="20"/>
        <v>-</v>
      </c>
      <c r="T48" s="6">
        <v>1</v>
      </c>
      <c r="U48" s="101">
        <f t="shared" si="21"/>
        <v>1.2313754463735992E-2</v>
      </c>
      <c r="V48" s="17">
        <v>1</v>
      </c>
      <c r="W48" s="67">
        <f t="shared" si="11"/>
        <v>1.1127183709803048E-2</v>
      </c>
    </row>
    <row r="49" spans="1:23" ht="20.100000000000001" customHeight="1">
      <c r="A49" s="27" t="s">
        <v>325</v>
      </c>
      <c r="B49" s="6" t="s">
        <v>9</v>
      </c>
      <c r="C49" s="101" t="str">
        <f t="shared" si="12"/>
        <v>-</v>
      </c>
      <c r="D49" s="6" t="s">
        <v>9</v>
      </c>
      <c r="E49" s="101" t="str">
        <f t="shared" si="13"/>
        <v>-</v>
      </c>
      <c r="F49" s="6" t="s">
        <v>9</v>
      </c>
      <c r="G49" s="101" t="str">
        <f t="shared" si="14"/>
        <v>-</v>
      </c>
      <c r="H49" s="6">
        <v>1</v>
      </c>
      <c r="I49" s="101">
        <f t="shared" si="15"/>
        <v>1.1671335200746966E-2</v>
      </c>
      <c r="J49" s="6" t="s">
        <v>9</v>
      </c>
      <c r="K49" s="101" t="str">
        <f t="shared" si="16"/>
        <v>-</v>
      </c>
      <c r="L49" s="6" t="s">
        <v>9</v>
      </c>
      <c r="M49" s="101" t="str">
        <f t="shared" si="17"/>
        <v>-</v>
      </c>
      <c r="N49" s="6" t="s">
        <v>9</v>
      </c>
      <c r="O49" s="101" t="str">
        <f t="shared" si="18"/>
        <v>-</v>
      </c>
      <c r="P49" s="6" t="s">
        <v>9</v>
      </c>
      <c r="Q49" s="101" t="str">
        <f t="shared" si="19"/>
        <v>-</v>
      </c>
      <c r="R49" s="6" t="s">
        <v>77</v>
      </c>
      <c r="S49" s="101" t="str">
        <f t="shared" si="20"/>
        <v>-</v>
      </c>
      <c r="T49" s="6" t="s">
        <v>77</v>
      </c>
      <c r="U49" s="101" t="str">
        <f t="shared" si="21"/>
        <v>-</v>
      </c>
      <c r="V49" s="17">
        <v>1</v>
      </c>
      <c r="W49" s="67">
        <f t="shared" si="11"/>
        <v>1.1127183709803048E-2</v>
      </c>
    </row>
    <row r="50" spans="1:23" ht="20.100000000000001" customHeight="1">
      <c r="A50" s="27" t="s">
        <v>326</v>
      </c>
      <c r="B50" s="6" t="s">
        <v>9</v>
      </c>
      <c r="C50" s="101" t="str">
        <f t="shared" si="12"/>
        <v>-</v>
      </c>
      <c r="D50" s="6">
        <v>3</v>
      </c>
      <c r="E50" s="101">
        <f t="shared" si="13"/>
        <v>2.8918449971081547E-2</v>
      </c>
      <c r="F50" s="6" t="s">
        <v>9</v>
      </c>
      <c r="G50" s="101" t="str">
        <f t="shared" si="14"/>
        <v>-</v>
      </c>
      <c r="H50" s="6">
        <v>2</v>
      </c>
      <c r="I50" s="101">
        <f t="shared" si="15"/>
        <v>2.3342670401493931E-2</v>
      </c>
      <c r="J50" s="6">
        <v>1</v>
      </c>
      <c r="K50" s="101">
        <f t="shared" si="16"/>
        <v>1.2297097884899163E-2</v>
      </c>
      <c r="L50" s="6" t="s">
        <v>9</v>
      </c>
      <c r="M50" s="101" t="str">
        <f t="shared" si="17"/>
        <v>-</v>
      </c>
      <c r="N50" s="6" t="s">
        <v>9</v>
      </c>
      <c r="O50" s="101" t="str">
        <f t="shared" si="18"/>
        <v>-</v>
      </c>
      <c r="P50" s="6" t="s">
        <v>9</v>
      </c>
      <c r="Q50" s="101" t="str">
        <f t="shared" si="19"/>
        <v>-</v>
      </c>
      <c r="R50" s="6" t="s">
        <v>77</v>
      </c>
      <c r="S50" s="101" t="str">
        <f t="shared" si="20"/>
        <v>-</v>
      </c>
      <c r="T50" s="6" t="s">
        <v>77</v>
      </c>
      <c r="U50" s="101" t="str">
        <f t="shared" si="21"/>
        <v>-</v>
      </c>
      <c r="V50" s="17">
        <v>1</v>
      </c>
      <c r="W50" s="67">
        <f t="shared" si="11"/>
        <v>1.1127183709803048E-2</v>
      </c>
    </row>
    <row r="51" spans="1:23" ht="20.100000000000001" customHeight="1">
      <c r="A51" s="27" t="s">
        <v>344</v>
      </c>
      <c r="B51" s="6">
        <v>1</v>
      </c>
      <c r="C51" s="101">
        <f t="shared" si="12"/>
        <v>8.7850303083545633E-3</v>
      </c>
      <c r="D51" s="6" t="s">
        <v>9</v>
      </c>
      <c r="E51" s="101" t="str">
        <f t="shared" si="13"/>
        <v>-</v>
      </c>
      <c r="F51" s="6">
        <v>7</v>
      </c>
      <c r="G51" s="101">
        <f t="shared" si="14"/>
        <v>7.4794315632011971E-2</v>
      </c>
      <c r="H51" s="6">
        <f>1+1</f>
        <v>2</v>
      </c>
      <c r="I51" s="101">
        <f t="shared" si="15"/>
        <v>2.3342670401493931E-2</v>
      </c>
      <c r="J51" s="6" t="s">
        <v>9</v>
      </c>
      <c r="K51" s="101" t="str">
        <f t="shared" si="16"/>
        <v>-</v>
      </c>
      <c r="L51" s="6" t="s">
        <v>9</v>
      </c>
      <c r="M51" s="101" t="str">
        <f t="shared" si="17"/>
        <v>-</v>
      </c>
      <c r="N51" s="6" t="s">
        <v>9</v>
      </c>
      <c r="O51" s="101" t="str">
        <f t="shared" si="18"/>
        <v>-</v>
      </c>
      <c r="P51" s="6">
        <f>1+0</f>
        <v>1</v>
      </c>
      <c r="Q51" s="101">
        <f t="shared" si="19"/>
        <v>1.2773023374632776E-2</v>
      </c>
      <c r="R51" s="6" t="s">
        <v>77</v>
      </c>
      <c r="S51" s="101" t="str">
        <f t="shared" si="20"/>
        <v>-</v>
      </c>
      <c r="T51" s="6" t="s">
        <v>77</v>
      </c>
      <c r="U51" s="101" t="str">
        <f t="shared" si="21"/>
        <v>-</v>
      </c>
      <c r="V51" s="17">
        <v>1</v>
      </c>
      <c r="W51" s="67">
        <f t="shared" si="11"/>
        <v>1.1127183709803048E-2</v>
      </c>
    </row>
    <row r="52" spans="1:23" ht="20.100000000000001" customHeight="1">
      <c r="A52" s="98" t="s">
        <v>266</v>
      </c>
      <c r="B52" s="6" t="s">
        <v>9</v>
      </c>
      <c r="C52" s="101" t="str">
        <f t="shared" si="12"/>
        <v>-</v>
      </c>
      <c r="D52" s="6" t="s">
        <v>9</v>
      </c>
      <c r="E52" s="101" t="str">
        <f t="shared" si="13"/>
        <v>-</v>
      </c>
      <c r="F52" s="6" t="s">
        <v>9</v>
      </c>
      <c r="G52" s="101" t="str">
        <f t="shared" si="14"/>
        <v>-</v>
      </c>
      <c r="H52" s="6" t="s">
        <v>9</v>
      </c>
      <c r="I52" s="101" t="str">
        <f t="shared" si="15"/>
        <v>-</v>
      </c>
      <c r="J52" s="6" t="s">
        <v>9</v>
      </c>
      <c r="K52" s="101" t="str">
        <f t="shared" si="16"/>
        <v>-</v>
      </c>
      <c r="L52" s="6" t="s">
        <v>280</v>
      </c>
      <c r="M52" s="101" t="str">
        <f t="shared" si="17"/>
        <v>-</v>
      </c>
      <c r="N52" s="6" t="s">
        <v>280</v>
      </c>
      <c r="O52" s="101" t="str">
        <f t="shared" si="18"/>
        <v>-</v>
      </c>
      <c r="P52" s="6" t="s">
        <v>9</v>
      </c>
      <c r="Q52" s="101" t="str">
        <f t="shared" si="19"/>
        <v>-</v>
      </c>
      <c r="R52" s="6" t="s">
        <v>77</v>
      </c>
      <c r="S52" s="101" t="str">
        <f t="shared" si="20"/>
        <v>-</v>
      </c>
      <c r="T52" s="6" t="s">
        <v>77</v>
      </c>
      <c r="U52" s="101" t="str">
        <f t="shared" si="21"/>
        <v>-</v>
      </c>
      <c r="V52" s="17">
        <v>1</v>
      </c>
      <c r="W52" s="67">
        <f t="shared" si="11"/>
        <v>1.1127183709803048E-2</v>
      </c>
    </row>
    <row r="53" spans="1:23" ht="20.100000000000001" customHeight="1">
      <c r="A53" s="27" t="s">
        <v>314</v>
      </c>
      <c r="B53" s="6">
        <f>23+11</f>
        <v>34</v>
      </c>
      <c r="C53" s="101">
        <f t="shared" si="12"/>
        <v>0.29869103048405521</v>
      </c>
      <c r="D53" s="6">
        <f>17+3</f>
        <v>20</v>
      </c>
      <c r="E53" s="101">
        <f t="shared" si="13"/>
        <v>0.19278966647387699</v>
      </c>
      <c r="F53" s="6">
        <f>3+4</f>
        <v>7</v>
      </c>
      <c r="G53" s="101">
        <f t="shared" si="14"/>
        <v>7.4794315632011971E-2</v>
      </c>
      <c r="H53" s="6">
        <f>8+3</f>
        <v>11</v>
      </c>
      <c r="I53" s="101">
        <f t="shared" si="15"/>
        <v>0.12838468720821661</v>
      </c>
      <c r="J53" s="6">
        <f>3+2</f>
        <v>5</v>
      </c>
      <c r="K53" s="101">
        <f t="shared" si="16"/>
        <v>6.1485489424495818E-2</v>
      </c>
      <c r="L53" s="6">
        <f>5+1</f>
        <v>6</v>
      </c>
      <c r="M53" s="101">
        <f t="shared" si="17"/>
        <v>7.1022727272727279E-2</v>
      </c>
      <c r="N53" s="6">
        <v>4</v>
      </c>
      <c r="O53" s="101">
        <f t="shared" si="18"/>
        <v>5.0352467270896276E-2</v>
      </c>
      <c r="P53" s="6">
        <f>2+3</f>
        <v>5</v>
      </c>
      <c r="Q53" s="101">
        <f t="shared" si="19"/>
        <v>6.3865116873163874E-2</v>
      </c>
      <c r="R53" s="6">
        <f>1+1</f>
        <v>2</v>
      </c>
      <c r="S53" s="101">
        <f t="shared" si="20"/>
        <v>2.2818026240730177E-2</v>
      </c>
      <c r="T53" s="6">
        <v>2</v>
      </c>
      <c r="U53" s="101">
        <f t="shared" si="21"/>
        <v>2.4627508927471984E-2</v>
      </c>
      <c r="V53" s="17" t="s">
        <v>280</v>
      </c>
      <c r="W53" s="101" t="s">
        <v>280</v>
      </c>
    </row>
    <row r="54" spans="1:23" ht="20.100000000000001" customHeight="1">
      <c r="A54" s="105" t="s">
        <v>317</v>
      </c>
      <c r="B54" s="6">
        <v>3</v>
      </c>
      <c r="C54" s="101">
        <f t="shared" si="12"/>
        <v>2.635509092506369E-2</v>
      </c>
      <c r="D54" s="6">
        <v>1</v>
      </c>
      <c r="E54" s="101">
        <f t="shared" si="13"/>
        <v>9.6394833236938503E-3</v>
      </c>
      <c r="F54" s="6" t="s">
        <v>9</v>
      </c>
      <c r="G54" s="101" t="str">
        <f t="shared" si="14"/>
        <v>-</v>
      </c>
      <c r="H54" s="6">
        <v>1</v>
      </c>
      <c r="I54" s="101">
        <f t="shared" si="15"/>
        <v>1.1671335200746966E-2</v>
      </c>
      <c r="J54" s="6">
        <v>2</v>
      </c>
      <c r="K54" s="101">
        <f t="shared" si="16"/>
        <v>2.4594195769798325E-2</v>
      </c>
      <c r="L54" s="6">
        <v>1</v>
      </c>
      <c r="M54" s="101">
        <f t="shared" si="17"/>
        <v>1.1837121212121212E-2</v>
      </c>
      <c r="N54" s="6">
        <f>2+1</f>
        <v>3</v>
      </c>
      <c r="O54" s="101">
        <f t="shared" si="18"/>
        <v>3.7764350453172203E-2</v>
      </c>
      <c r="P54" s="6">
        <f>1+0</f>
        <v>1</v>
      </c>
      <c r="Q54" s="101">
        <f t="shared" si="19"/>
        <v>1.2773023374632776E-2</v>
      </c>
      <c r="R54" s="6">
        <f>1+0</f>
        <v>1</v>
      </c>
      <c r="S54" s="101">
        <f t="shared" si="20"/>
        <v>1.1409013120365089E-2</v>
      </c>
      <c r="T54" s="6">
        <v>1</v>
      </c>
      <c r="U54" s="101">
        <f t="shared" si="21"/>
        <v>1.2313754463735992E-2</v>
      </c>
      <c r="V54" s="17" t="s">
        <v>280</v>
      </c>
      <c r="W54" s="101" t="str">
        <f t="shared" ref="W54:W73" si="22">IFERROR(V54/V$4*100,"-")</f>
        <v>-</v>
      </c>
    </row>
    <row r="55" spans="1:23" ht="20.100000000000001" customHeight="1">
      <c r="A55" s="27" t="s">
        <v>318</v>
      </c>
      <c r="B55" s="6">
        <v>4</v>
      </c>
      <c r="C55" s="101">
        <f t="shared" si="12"/>
        <v>3.5140121233418253E-2</v>
      </c>
      <c r="D55" s="6">
        <v>1</v>
      </c>
      <c r="E55" s="101">
        <f t="shared" si="13"/>
        <v>9.6394833236938503E-3</v>
      </c>
      <c r="F55" s="6">
        <v>1</v>
      </c>
      <c r="G55" s="101">
        <f t="shared" si="14"/>
        <v>1.0684902233144567E-2</v>
      </c>
      <c r="H55" s="6" t="s">
        <v>9</v>
      </c>
      <c r="I55" s="101" t="str">
        <f t="shared" si="15"/>
        <v>-</v>
      </c>
      <c r="J55" s="6">
        <v>1</v>
      </c>
      <c r="K55" s="101">
        <f t="shared" si="16"/>
        <v>1.2297097884899163E-2</v>
      </c>
      <c r="L55" s="6">
        <v>1</v>
      </c>
      <c r="M55" s="101">
        <f t="shared" si="17"/>
        <v>1.1837121212121212E-2</v>
      </c>
      <c r="N55" s="6" t="s">
        <v>9</v>
      </c>
      <c r="O55" s="101" t="str">
        <f t="shared" si="18"/>
        <v>-</v>
      </c>
      <c r="P55" s="6" t="s">
        <v>9</v>
      </c>
      <c r="Q55" s="101" t="str">
        <f t="shared" si="19"/>
        <v>-</v>
      </c>
      <c r="R55" s="6" t="s">
        <v>77</v>
      </c>
      <c r="S55" s="101" t="str">
        <f t="shared" si="20"/>
        <v>-</v>
      </c>
      <c r="T55" s="6">
        <v>1</v>
      </c>
      <c r="U55" s="101">
        <f t="shared" si="21"/>
        <v>1.2313754463735992E-2</v>
      </c>
      <c r="V55" s="17" t="s">
        <v>280</v>
      </c>
      <c r="W55" s="101" t="str">
        <f t="shared" si="22"/>
        <v>-</v>
      </c>
    </row>
    <row r="56" spans="1:23" ht="20.100000000000001" customHeight="1">
      <c r="A56" s="27" t="s">
        <v>319</v>
      </c>
      <c r="B56" s="6" t="s">
        <v>77</v>
      </c>
      <c r="C56" s="101" t="str">
        <f t="shared" si="12"/>
        <v>-</v>
      </c>
      <c r="D56" s="6" t="s">
        <v>77</v>
      </c>
      <c r="E56" s="101" t="str">
        <f t="shared" si="13"/>
        <v>-</v>
      </c>
      <c r="F56" s="6" t="s">
        <v>77</v>
      </c>
      <c r="G56" s="101" t="str">
        <f t="shared" si="14"/>
        <v>-</v>
      </c>
      <c r="H56" s="6" t="s">
        <v>77</v>
      </c>
      <c r="I56" s="101" t="str">
        <f t="shared" si="15"/>
        <v>-</v>
      </c>
      <c r="J56" s="6" t="s">
        <v>77</v>
      </c>
      <c r="K56" s="101" t="str">
        <f t="shared" si="16"/>
        <v>-</v>
      </c>
      <c r="L56" s="6" t="s">
        <v>77</v>
      </c>
      <c r="M56" s="101" t="str">
        <f t="shared" si="17"/>
        <v>-</v>
      </c>
      <c r="N56" s="6" t="s">
        <v>77</v>
      </c>
      <c r="O56" s="101" t="str">
        <f t="shared" si="18"/>
        <v>-</v>
      </c>
      <c r="P56" s="6" t="s">
        <v>77</v>
      </c>
      <c r="Q56" s="101" t="str">
        <f t="shared" si="19"/>
        <v>-</v>
      </c>
      <c r="R56" s="6" t="s">
        <v>77</v>
      </c>
      <c r="S56" s="101" t="str">
        <f t="shared" si="20"/>
        <v>-</v>
      </c>
      <c r="T56" s="6">
        <v>1</v>
      </c>
      <c r="U56" s="101">
        <f t="shared" si="21"/>
        <v>1.2313754463735992E-2</v>
      </c>
      <c r="V56" s="17" t="s">
        <v>280</v>
      </c>
      <c r="W56" s="101" t="str">
        <f t="shared" si="22"/>
        <v>-</v>
      </c>
    </row>
    <row r="57" spans="1:23" ht="20.100000000000001" customHeight="1">
      <c r="A57" s="27" t="s">
        <v>320</v>
      </c>
      <c r="B57" s="6">
        <v>12</v>
      </c>
      <c r="C57" s="101">
        <f t="shared" si="12"/>
        <v>0.10542036370025476</v>
      </c>
      <c r="D57" s="6">
        <f>14+2</f>
        <v>16</v>
      </c>
      <c r="E57" s="101">
        <f t="shared" si="13"/>
        <v>0.1542317331791016</v>
      </c>
      <c r="F57" s="6">
        <f>6+1</f>
        <v>7</v>
      </c>
      <c r="G57" s="101">
        <f t="shared" si="14"/>
        <v>7.4794315632011971E-2</v>
      </c>
      <c r="H57" s="6">
        <v>3</v>
      </c>
      <c r="I57" s="101">
        <f t="shared" si="15"/>
        <v>3.5014005602240897E-2</v>
      </c>
      <c r="J57" s="6">
        <v>4</v>
      </c>
      <c r="K57" s="101">
        <f t="shared" si="16"/>
        <v>4.918839153959665E-2</v>
      </c>
      <c r="L57" s="6">
        <v>2</v>
      </c>
      <c r="M57" s="101">
        <f t="shared" si="17"/>
        <v>2.3674242424242424E-2</v>
      </c>
      <c r="N57" s="6" t="s">
        <v>9</v>
      </c>
      <c r="O57" s="101" t="str">
        <f t="shared" si="18"/>
        <v>-</v>
      </c>
      <c r="P57" s="6">
        <f>1+0</f>
        <v>1</v>
      </c>
      <c r="Q57" s="101">
        <f t="shared" si="19"/>
        <v>1.2773023374632776E-2</v>
      </c>
      <c r="R57" s="6">
        <f>1+0</f>
        <v>1</v>
      </c>
      <c r="S57" s="101">
        <f t="shared" si="20"/>
        <v>1.1409013120365089E-2</v>
      </c>
      <c r="T57" s="6">
        <v>1</v>
      </c>
      <c r="U57" s="101">
        <f t="shared" si="21"/>
        <v>1.2313754463735992E-2</v>
      </c>
      <c r="V57" s="17" t="s">
        <v>280</v>
      </c>
      <c r="W57" s="101" t="str">
        <f t="shared" si="22"/>
        <v>-</v>
      </c>
    </row>
    <row r="58" spans="1:23" ht="20.100000000000001" customHeight="1">
      <c r="A58" s="27" t="s">
        <v>321</v>
      </c>
      <c r="B58" s="6">
        <v>1</v>
      </c>
      <c r="C58" s="101">
        <f t="shared" si="12"/>
        <v>8.7850303083545633E-3</v>
      </c>
      <c r="D58" s="6" t="s">
        <v>9</v>
      </c>
      <c r="E58" s="101" t="str">
        <f t="shared" si="13"/>
        <v>-</v>
      </c>
      <c r="F58" s="6" t="s">
        <v>9</v>
      </c>
      <c r="G58" s="101" t="str">
        <f t="shared" si="14"/>
        <v>-</v>
      </c>
      <c r="H58" s="6" t="s">
        <v>9</v>
      </c>
      <c r="I58" s="101" t="str">
        <f t="shared" si="15"/>
        <v>-</v>
      </c>
      <c r="J58" s="6">
        <f>3+3</f>
        <v>6</v>
      </c>
      <c r="K58" s="101">
        <f t="shared" si="16"/>
        <v>7.3782587309394979E-2</v>
      </c>
      <c r="L58" s="6">
        <f>2+2</f>
        <v>4</v>
      </c>
      <c r="M58" s="101">
        <f t="shared" si="17"/>
        <v>4.7348484848484848E-2</v>
      </c>
      <c r="N58" s="6">
        <v>1</v>
      </c>
      <c r="O58" s="101">
        <f t="shared" si="18"/>
        <v>1.2588116817724069E-2</v>
      </c>
      <c r="P58" s="6" t="s">
        <v>9</v>
      </c>
      <c r="Q58" s="101" t="str">
        <f t="shared" si="19"/>
        <v>-</v>
      </c>
      <c r="R58" s="6" t="s">
        <v>77</v>
      </c>
      <c r="S58" s="101" t="str">
        <f t="shared" si="20"/>
        <v>-</v>
      </c>
      <c r="T58" s="6">
        <v>1</v>
      </c>
      <c r="U58" s="101">
        <f t="shared" si="21"/>
        <v>1.2313754463735992E-2</v>
      </c>
      <c r="V58" s="17" t="s">
        <v>280</v>
      </c>
      <c r="W58" s="101" t="str">
        <f t="shared" si="22"/>
        <v>-</v>
      </c>
    </row>
    <row r="59" spans="1:23" ht="20.100000000000001" customHeight="1">
      <c r="A59" s="105" t="s">
        <v>322</v>
      </c>
      <c r="B59" s="6" t="s">
        <v>9</v>
      </c>
      <c r="C59" s="101" t="str">
        <f t="shared" si="12"/>
        <v>-</v>
      </c>
      <c r="D59" s="6">
        <v>1</v>
      </c>
      <c r="E59" s="101">
        <f t="shared" si="13"/>
        <v>9.6394833236938503E-3</v>
      </c>
      <c r="F59" s="6" t="s">
        <v>9</v>
      </c>
      <c r="G59" s="101" t="str">
        <f t="shared" si="14"/>
        <v>-</v>
      </c>
      <c r="H59" s="6" t="s">
        <v>9</v>
      </c>
      <c r="I59" s="101" t="str">
        <f t="shared" si="15"/>
        <v>-</v>
      </c>
      <c r="J59" s="6" t="s">
        <v>9</v>
      </c>
      <c r="K59" s="101" t="str">
        <f t="shared" si="16"/>
        <v>-</v>
      </c>
      <c r="L59" s="6">
        <f>3+1</f>
        <v>4</v>
      </c>
      <c r="M59" s="101">
        <f t="shared" si="17"/>
        <v>4.7348484848484848E-2</v>
      </c>
      <c r="N59" s="6" t="s">
        <v>9</v>
      </c>
      <c r="O59" s="101" t="str">
        <f t="shared" si="18"/>
        <v>-</v>
      </c>
      <c r="P59" s="6" t="s">
        <v>9</v>
      </c>
      <c r="Q59" s="101" t="str">
        <f t="shared" si="19"/>
        <v>-</v>
      </c>
      <c r="R59" s="6" t="s">
        <v>77</v>
      </c>
      <c r="S59" s="101" t="str">
        <f t="shared" si="20"/>
        <v>-</v>
      </c>
      <c r="T59" s="6" t="s">
        <v>77</v>
      </c>
      <c r="U59" s="101" t="str">
        <f t="shared" si="21"/>
        <v>-</v>
      </c>
      <c r="V59" s="17" t="s">
        <v>280</v>
      </c>
      <c r="W59" s="101" t="str">
        <f t="shared" si="22"/>
        <v>-</v>
      </c>
    </row>
    <row r="60" spans="1:23" ht="20.100000000000001" customHeight="1">
      <c r="A60" s="27" t="s">
        <v>323</v>
      </c>
      <c r="B60" s="6" t="s">
        <v>9</v>
      </c>
      <c r="C60" s="101" t="str">
        <f t="shared" si="12"/>
        <v>-</v>
      </c>
      <c r="D60" s="6" t="s">
        <v>9</v>
      </c>
      <c r="E60" s="101" t="str">
        <f t="shared" si="13"/>
        <v>-</v>
      </c>
      <c r="F60" s="6" t="s">
        <v>9</v>
      </c>
      <c r="G60" s="101" t="str">
        <f t="shared" si="14"/>
        <v>-</v>
      </c>
      <c r="H60" s="6">
        <v>3</v>
      </c>
      <c r="I60" s="101">
        <f t="shared" si="15"/>
        <v>3.5014005602240897E-2</v>
      </c>
      <c r="J60" s="6" t="s">
        <v>9</v>
      </c>
      <c r="K60" s="101" t="str">
        <f t="shared" si="16"/>
        <v>-</v>
      </c>
      <c r="L60" s="6">
        <f>1+2</f>
        <v>3</v>
      </c>
      <c r="M60" s="101">
        <f t="shared" si="17"/>
        <v>3.551136363636364E-2</v>
      </c>
      <c r="N60" s="6">
        <v>1</v>
      </c>
      <c r="O60" s="101">
        <f t="shared" si="18"/>
        <v>1.2588116817724069E-2</v>
      </c>
      <c r="P60" s="6">
        <f>1+2</f>
        <v>3</v>
      </c>
      <c r="Q60" s="101">
        <f t="shared" si="19"/>
        <v>3.8319070123898326E-2</v>
      </c>
      <c r="R60" s="6">
        <f>1+1</f>
        <v>2</v>
      </c>
      <c r="S60" s="101">
        <f t="shared" si="20"/>
        <v>2.2818026240730177E-2</v>
      </c>
      <c r="T60" s="6">
        <v>3</v>
      </c>
      <c r="U60" s="101">
        <f t="shared" si="21"/>
        <v>3.6941263391207978E-2</v>
      </c>
      <c r="V60" s="17" t="s">
        <v>280</v>
      </c>
      <c r="W60" s="101" t="str">
        <f t="shared" si="22"/>
        <v>-</v>
      </c>
    </row>
    <row r="61" spans="1:23" ht="20.100000000000001" customHeight="1">
      <c r="A61" s="27" t="s">
        <v>324</v>
      </c>
      <c r="B61" s="6" t="s">
        <v>9</v>
      </c>
      <c r="C61" s="101" t="str">
        <f t="shared" si="12"/>
        <v>-</v>
      </c>
      <c r="D61" s="6">
        <v>1</v>
      </c>
      <c r="E61" s="101">
        <f t="shared" si="13"/>
        <v>9.6394833236938503E-3</v>
      </c>
      <c r="F61" s="6" t="s">
        <v>9</v>
      </c>
      <c r="G61" s="101" t="str">
        <f t="shared" si="14"/>
        <v>-</v>
      </c>
      <c r="H61" s="6" t="s">
        <v>9</v>
      </c>
      <c r="I61" s="101" t="str">
        <f t="shared" si="15"/>
        <v>-</v>
      </c>
      <c r="J61" s="6" t="s">
        <v>9</v>
      </c>
      <c r="K61" s="101" t="str">
        <f t="shared" si="16"/>
        <v>-</v>
      </c>
      <c r="L61" s="6" t="s">
        <v>9</v>
      </c>
      <c r="M61" s="101" t="str">
        <f t="shared" si="17"/>
        <v>-</v>
      </c>
      <c r="N61" s="6" t="s">
        <v>9</v>
      </c>
      <c r="O61" s="101" t="str">
        <f t="shared" si="18"/>
        <v>-</v>
      </c>
      <c r="P61" s="6" t="s">
        <v>9</v>
      </c>
      <c r="Q61" s="101" t="str">
        <f t="shared" si="19"/>
        <v>-</v>
      </c>
      <c r="R61" s="6" t="s">
        <v>77</v>
      </c>
      <c r="S61" s="101" t="str">
        <f t="shared" si="20"/>
        <v>-</v>
      </c>
      <c r="T61" s="6" t="s">
        <v>77</v>
      </c>
      <c r="U61" s="101" t="str">
        <f t="shared" si="21"/>
        <v>-</v>
      </c>
      <c r="V61" s="17" t="s">
        <v>280</v>
      </c>
      <c r="W61" s="101" t="str">
        <f t="shared" si="22"/>
        <v>-</v>
      </c>
    </row>
    <row r="62" spans="1:23" ht="20.100000000000001" customHeight="1">
      <c r="A62" s="27" t="s">
        <v>327</v>
      </c>
      <c r="B62" s="6" t="s">
        <v>9</v>
      </c>
      <c r="C62" s="101" t="str">
        <f t="shared" si="12"/>
        <v>-</v>
      </c>
      <c r="D62" s="6" t="s">
        <v>9</v>
      </c>
      <c r="E62" s="101" t="str">
        <f t="shared" si="13"/>
        <v>-</v>
      </c>
      <c r="F62" s="6" t="s">
        <v>9</v>
      </c>
      <c r="G62" s="101" t="str">
        <f t="shared" si="14"/>
        <v>-</v>
      </c>
      <c r="H62" s="6">
        <v>3</v>
      </c>
      <c r="I62" s="101">
        <f t="shared" si="15"/>
        <v>3.5014005602240897E-2</v>
      </c>
      <c r="J62" s="6" t="s">
        <v>9</v>
      </c>
      <c r="K62" s="101" t="str">
        <f t="shared" si="16"/>
        <v>-</v>
      </c>
      <c r="L62" s="6" t="s">
        <v>9</v>
      </c>
      <c r="M62" s="101" t="str">
        <f t="shared" si="17"/>
        <v>-</v>
      </c>
      <c r="N62" s="6" t="s">
        <v>9</v>
      </c>
      <c r="O62" s="101" t="str">
        <f t="shared" si="18"/>
        <v>-</v>
      </c>
      <c r="P62" s="6" t="s">
        <v>9</v>
      </c>
      <c r="Q62" s="101" t="str">
        <f t="shared" si="19"/>
        <v>-</v>
      </c>
      <c r="R62" s="6" t="s">
        <v>77</v>
      </c>
      <c r="S62" s="101" t="str">
        <f t="shared" si="20"/>
        <v>-</v>
      </c>
      <c r="T62" s="6" t="s">
        <v>77</v>
      </c>
      <c r="U62" s="101" t="str">
        <f t="shared" si="21"/>
        <v>-</v>
      </c>
      <c r="V62" s="17" t="s">
        <v>280</v>
      </c>
      <c r="W62" s="101" t="str">
        <f t="shared" si="22"/>
        <v>-</v>
      </c>
    </row>
    <row r="63" spans="1:23" ht="20.100000000000001" customHeight="1">
      <c r="A63" s="98" t="s">
        <v>328</v>
      </c>
      <c r="B63" s="6" t="s">
        <v>9</v>
      </c>
      <c r="C63" s="101" t="str">
        <f t="shared" si="12"/>
        <v>-</v>
      </c>
      <c r="D63" s="6" t="s">
        <v>9</v>
      </c>
      <c r="E63" s="101" t="str">
        <f t="shared" si="13"/>
        <v>-</v>
      </c>
      <c r="F63" s="6" t="s">
        <v>9</v>
      </c>
      <c r="G63" s="101" t="str">
        <f t="shared" si="14"/>
        <v>-</v>
      </c>
      <c r="H63" s="6" t="s">
        <v>9</v>
      </c>
      <c r="I63" s="101" t="str">
        <f t="shared" si="15"/>
        <v>-</v>
      </c>
      <c r="J63" s="6" t="s">
        <v>9</v>
      </c>
      <c r="K63" s="101" t="str">
        <f t="shared" si="16"/>
        <v>-</v>
      </c>
      <c r="L63" s="6" t="s">
        <v>9</v>
      </c>
      <c r="M63" s="101" t="str">
        <f t="shared" si="17"/>
        <v>-</v>
      </c>
      <c r="N63" s="6" t="s">
        <v>9</v>
      </c>
      <c r="O63" s="101" t="str">
        <f t="shared" si="18"/>
        <v>-</v>
      </c>
      <c r="P63" s="6" t="s">
        <v>9</v>
      </c>
      <c r="Q63" s="101" t="str">
        <f t="shared" si="19"/>
        <v>-</v>
      </c>
      <c r="R63" s="104">
        <v>1</v>
      </c>
      <c r="S63" s="101">
        <f t="shared" si="20"/>
        <v>1.1409013120365089E-2</v>
      </c>
      <c r="T63" s="6" t="s">
        <v>77</v>
      </c>
      <c r="U63" s="101" t="str">
        <f t="shared" si="21"/>
        <v>-</v>
      </c>
      <c r="V63" s="17" t="s">
        <v>280</v>
      </c>
      <c r="W63" s="101" t="str">
        <f t="shared" si="22"/>
        <v>-</v>
      </c>
    </row>
    <row r="64" spans="1:23" ht="20.100000000000001" customHeight="1">
      <c r="A64" s="27" t="s">
        <v>333</v>
      </c>
      <c r="B64" s="6">
        <f>1+1</f>
        <v>2</v>
      </c>
      <c r="C64" s="101">
        <f t="shared" si="12"/>
        <v>1.7570060616709127E-2</v>
      </c>
      <c r="D64" s="6">
        <v>2</v>
      </c>
      <c r="E64" s="101">
        <f t="shared" si="13"/>
        <v>1.9278966647387701E-2</v>
      </c>
      <c r="F64" s="6">
        <f>5+1</f>
        <v>6</v>
      </c>
      <c r="G64" s="101">
        <f t="shared" si="14"/>
        <v>6.4109413398867401E-2</v>
      </c>
      <c r="H64" s="6">
        <v>4</v>
      </c>
      <c r="I64" s="101">
        <f t="shared" si="15"/>
        <v>4.6685340802987862E-2</v>
      </c>
      <c r="J64" s="6">
        <f>4+1</f>
        <v>5</v>
      </c>
      <c r="K64" s="101">
        <f t="shared" si="16"/>
        <v>6.1485489424495818E-2</v>
      </c>
      <c r="L64" s="6">
        <v>5</v>
      </c>
      <c r="M64" s="101">
        <f t="shared" si="17"/>
        <v>5.9185606060606064E-2</v>
      </c>
      <c r="N64" s="6" t="s">
        <v>9</v>
      </c>
      <c r="O64" s="101" t="str">
        <f t="shared" si="18"/>
        <v>-</v>
      </c>
      <c r="P64" s="6">
        <f>1+1</f>
        <v>2</v>
      </c>
      <c r="Q64" s="101">
        <f t="shared" si="19"/>
        <v>2.5546046749265552E-2</v>
      </c>
      <c r="R64" s="6">
        <f>1+2</f>
        <v>3</v>
      </c>
      <c r="S64" s="101">
        <f t="shared" si="20"/>
        <v>3.4227039361095266E-2</v>
      </c>
      <c r="T64" s="6" t="s">
        <v>77</v>
      </c>
      <c r="U64" s="101" t="str">
        <f t="shared" si="21"/>
        <v>-</v>
      </c>
      <c r="V64" s="17" t="s">
        <v>280</v>
      </c>
      <c r="W64" s="101" t="str">
        <f t="shared" si="22"/>
        <v>-</v>
      </c>
    </row>
    <row r="65" spans="1:23" ht="20.100000000000001" customHeight="1">
      <c r="A65" s="27" t="s">
        <v>336</v>
      </c>
      <c r="B65" s="6">
        <v>4</v>
      </c>
      <c r="C65" s="101">
        <f t="shared" si="12"/>
        <v>3.5140121233418253E-2</v>
      </c>
      <c r="D65" s="6" t="s">
        <v>9</v>
      </c>
      <c r="E65" s="101" t="str">
        <f t="shared" si="13"/>
        <v>-</v>
      </c>
      <c r="F65" s="6" t="s">
        <v>9</v>
      </c>
      <c r="G65" s="101" t="str">
        <f t="shared" si="14"/>
        <v>-</v>
      </c>
      <c r="H65" s="6" t="s">
        <v>9</v>
      </c>
      <c r="I65" s="101" t="str">
        <f t="shared" si="15"/>
        <v>-</v>
      </c>
      <c r="J65" s="6" t="s">
        <v>9</v>
      </c>
      <c r="K65" s="101" t="str">
        <f t="shared" si="16"/>
        <v>-</v>
      </c>
      <c r="L65" s="6" t="s">
        <v>9</v>
      </c>
      <c r="M65" s="101" t="str">
        <f t="shared" si="17"/>
        <v>-</v>
      </c>
      <c r="N65" s="6" t="s">
        <v>9</v>
      </c>
      <c r="O65" s="101" t="str">
        <f t="shared" si="18"/>
        <v>-</v>
      </c>
      <c r="P65" s="6" t="s">
        <v>9</v>
      </c>
      <c r="Q65" s="101" t="str">
        <f t="shared" si="19"/>
        <v>-</v>
      </c>
      <c r="R65" s="6" t="s">
        <v>77</v>
      </c>
      <c r="S65" s="101" t="str">
        <f t="shared" si="20"/>
        <v>-</v>
      </c>
      <c r="T65" s="6" t="s">
        <v>77</v>
      </c>
      <c r="U65" s="101" t="str">
        <f t="shared" si="21"/>
        <v>-</v>
      </c>
      <c r="V65" s="17" t="s">
        <v>280</v>
      </c>
      <c r="W65" s="101" t="str">
        <f t="shared" si="22"/>
        <v>-</v>
      </c>
    </row>
    <row r="66" spans="1:23" ht="20.100000000000001" customHeight="1">
      <c r="A66" s="98" t="s">
        <v>337</v>
      </c>
      <c r="B66" s="6" t="s">
        <v>9</v>
      </c>
      <c r="C66" s="101" t="str">
        <f t="shared" si="12"/>
        <v>-</v>
      </c>
      <c r="D66" s="6" t="s">
        <v>9</v>
      </c>
      <c r="E66" s="101" t="str">
        <f t="shared" si="13"/>
        <v>-</v>
      </c>
      <c r="F66" s="6" t="s">
        <v>9</v>
      </c>
      <c r="G66" s="101" t="str">
        <f t="shared" si="14"/>
        <v>-</v>
      </c>
      <c r="H66" s="6" t="s">
        <v>9</v>
      </c>
      <c r="I66" s="101" t="str">
        <f t="shared" si="15"/>
        <v>-</v>
      </c>
      <c r="J66" s="6" t="s">
        <v>9</v>
      </c>
      <c r="K66" s="101" t="str">
        <f t="shared" si="16"/>
        <v>-</v>
      </c>
      <c r="L66" s="6" t="s">
        <v>9</v>
      </c>
      <c r="M66" s="101" t="str">
        <f t="shared" si="17"/>
        <v>-</v>
      </c>
      <c r="N66" s="6" t="s">
        <v>9</v>
      </c>
      <c r="O66" s="101" t="str">
        <f t="shared" si="18"/>
        <v>-</v>
      </c>
      <c r="P66" s="6" t="s">
        <v>9</v>
      </c>
      <c r="Q66" s="101" t="str">
        <f t="shared" si="19"/>
        <v>-</v>
      </c>
      <c r="R66" s="6">
        <v>2</v>
      </c>
      <c r="S66" s="101">
        <f t="shared" si="20"/>
        <v>2.2818026240730177E-2</v>
      </c>
      <c r="T66" s="6" t="s">
        <v>77</v>
      </c>
      <c r="U66" s="101" t="str">
        <f t="shared" si="21"/>
        <v>-</v>
      </c>
      <c r="V66" s="17" t="s">
        <v>280</v>
      </c>
      <c r="W66" s="101" t="str">
        <f t="shared" si="22"/>
        <v>-</v>
      </c>
    </row>
    <row r="67" spans="1:23" ht="20.100000000000001" customHeight="1">
      <c r="A67" s="27" t="s">
        <v>338</v>
      </c>
      <c r="B67" s="6">
        <v>1</v>
      </c>
      <c r="C67" s="101">
        <f t="shared" si="12"/>
        <v>8.7850303083545633E-3</v>
      </c>
      <c r="D67" s="6" t="s">
        <v>9</v>
      </c>
      <c r="E67" s="101" t="str">
        <f t="shared" si="13"/>
        <v>-</v>
      </c>
      <c r="F67" s="6" t="s">
        <v>9</v>
      </c>
      <c r="G67" s="101" t="str">
        <f t="shared" si="14"/>
        <v>-</v>
      </c>
      <c r="H67" s="6" t="s">
        <v>9</v>
      </c>
      <c r="I67" s="101" t="str">
        <f t="shared" si="15"/>
        <v>-</v>
      </c>
      <c r="J67" s="6" t="s">
        <v>9</v>
      </c>
      <c r="K67" s="101" t="str">
        <f t="shared" si="16"/>
        <v>-</v>
      </c>
      <c r="L67" s="6" t="s">
        <v>9</v>
      </c>
      <c r="M67" s="101" t="str">
        <f t="shared" si="17"/>
        <v>-</v>
      </c>
      <c r="N67" s="6">
        <f>1</f>
        <v>1</v>
      </c>
      <c r="O67" s="101">
        <f t="shared" si="18"/>
        <v>1.2588116817724069E-2</v>
      </c>
      <c r="P67" s="6" t="s">
        <v>9</v>
      </c>
      <c r="Q67" s="101" t="str">
        <f t="shared" si="19"/>
        <v>-</v>
      </c>
      <c r="R67" s="6" t="s">
        <v>77</v>
      </c>
      <c r="S67" s="101" t="str">
        <f t="shared" si="20"/>
        <v>-</v>
      </c>
      <c r="T67" s="6" t="s">
        <v>77</v>
      </c>
      <c r="U67" s="101" t="str">
        <f t="shared" si="21"/>
        <v>-</v>
      </c>
      <c r="V67" s="17" t="s">
        <v>280</v>
      </c>
      <c r="W67" s="101" t="str">
        <f t="shared" si="22"/>
        <v>-</v>
      </c>
    </row>
    <row r="68" spans="1:23" ht="20.100000000000001" customHeight="1">
      <c r="A68" s="27" t="s">
        <v>340</v>
      </c>
      <c r="B68" s="6" t="s">
        <v>9</v>
      </c>
      <c r="C68" s="101" t="str">
        <f t="shared" si="12"/>
        <v>-</v>
      </c>
      <c r="D68" s="6" t="s">
        <v>9</v>
      </c>
      <c r="E68" s="101" t="str">
        <f t="shared" si="13"/>
        <v>-</v>
      </c>
      <c r="F68" s="6" t="s">
        <v>9</v>
      </c>
      <c r="G68" s="101" t="str">
        <f t="shared" si="14"/>
        <v>-</v>
      </c>
      <c r="H68" s="6" t="s">
        <v>9</v>
      </c>
      <c r="I68" s="101" t="str">
        <f t="shared" si="15"/>
        <v>-</v>
      </c>
      <c r="J68" s="6" t="s">
        <v>9</v>
      </c>
      <c r="K68" s="101" t="str">
        <f t="shared" si="16"/>
        <v>-</v>
      </c>
      <c r="L68" s="6">
        <v>1</v>
      </c>
      <c r="M68" s="101">
        <f t="shared" si="17"/>
        <v>1.1837121212121212E-2</v>
      </c>
      <c r="N68" s="6" t="s">
        <v>9</v>
      </c>
      <c r="O68" s="101" t="str">
        <f t="shared" si="18"/>
        <v>-</v>
      </c>
      <c r="P68" s="6" t="s">
        <v>9</v>
      </c>
      <c r="Q68" s="101" t="str">
        <f t="shared" si="19"/>
        <v>-</v>
      </c>
      <c r="R68" s="6" t="s">
        <v>77</v>
      </c>
      <c r="S68" s="101" t="str">
        <f t="shared" si="20"/>
        <v>-</v>
      </c>
      <c r="T68" s="6" t="s">
        <v>77</v>
      </c>
      <c r="U68" s="101" t="str">
        <f t="shared" si="21"/>
        <v>-</v>
      </c>
      <c r="V68" s="17" t="s">
        <v>280</v>
      </c>
      <c r="W68" s="101" t="str">
        <f t="shared" si="22"/>
        <v>-</v>
      </c>
    </row>
    <row r="69" spans="1:23" ht="20.100000000000001" customHeight="1">
      <c r="A69" s="27" t="s">
        <v>341</v>
      </c>
      <c r="B69" s="6">
        <v>1</v>
      </c>
      <c r="C69" s="101">
        <f t="shared" ref="C69:C73" si="23">IFERROR(B69/B$4*100,"-")</f>
        <v>8.7850303083545633E-3</v>
      </c>
      <c r="D69" s="6">
        <v>3</v>
      </c>
      <c r="E69" s="101">
        <f t="shared" ref="E69:E73" si="24">IFERROR(D69/D$4*100,"-")</f>
        <v>2.8918449971081547E-2</v>
      </c>
      <c r="F69" s="6" t="s">
        <v>9</v>
      </c>
      <c r="G69" s="101" t="str">
        <f t="shared" ref="G69:G73" si="25">IFERROR(F69/F$4*100,"-")</f>
        <v>-</v>
      </c>
      <c r="H69" s="6">
        <v>6</v>
      </c>
      <c r="I69" s="101">
        <f t="shared" ref="I69:I73" si="26">IFERROR(H69/H$4*100,"-")</f>
        <v>7.0028011204481794E-2</v>
      </c>
      <c r="J69" s="6" t="s">
        <v>9</v>
      </c>
      <c r="K69" s="101" t="str">
        <f t="shared" ref="K69:K73" si="27">IFERROR(J69/J$4*100,"-")</f>
        <v>-</v>
      </c>
      <c r="L69" s="6" t="s">
        <v>9</v>
      </c>
      <c r="M69" s="101" t="str">
        <f t="shared" ref="M69:M73" si="28">IFERROR(L69/L$4*100,"-")</f>
        <v>-</v>
      </c>
      <c r="N69" s="6">
        <v>1</v>
      </c>
      <c r="O69" s="101">
        <f t="shared" ref="O69:O73" si="29">IFERROR(N69/N$4*100,"-")</f>
        <v>1.2588116817724069E-2</v>
      </c>
      <c r="P69" s="6" t="s">
        <v>9</v>
      </c>
      <c r="Q69" s="101" t="str">
        <f t="shared" ref="Q69:Q73" si="30">IFERROR(P69/P$4*100,"-")</f>
        <v>-</v>
      </c>
      <c r="R69" s="6" t="s">
        <v>77</v>
      </c>
      <c r="S69" s="101" t="str">
        <f t="shared" ref="S69:S73" si="31">IFERROR(R69/R$4*100,"-")</f>
        <v>-</v>
      </c>
      <c r="T69" s="6" t="s">
        <v>77</v>
      </c>
      <c r="U69" s="101" t="str">
        <f t="shared" ref="U69:U73" si="32">IFERROR(T69/T$4*100,"-")</f>
        <v>-</v>
      </c>
      <c r="V69" s="17" t="s">
        <v>280</v>
      </c>
      <c r="W69" s="101" t="str">
        <f t="shared" si="22"/>
        <v>-</v>
      </c>
    </row>
    <row r="70" spans="1:23" ht="20.100000000000001" customHeight="1">
      <c r="A70" s="27" t="s">
        <v>343</v>
      </c>
      <c r="B70" s="6" t="s">
        <v>9</v>
      </c>
      <c r="C70" s="101" t="str">
        <f t="shared" si="23"/>
        <v>-</v>
      </c>
      <c r="D70" s="6" t="s">
        <v>9</v>
      </c>
      <c r="E70" s="101" t="str">
        <f t="shared" si="24"/>
        <v>-</v>
      </c>
      <c r="F70" s="6" t="s">
        <v>9</v>
      </c>
      <c r="G70" s="101" t="str">
        <f t="shared" si="25"/>
        <v>-</v>
      </c>
      <c r="H70" s="6">
        <v>1</v>
      </c>
      <c r="I70" s="101">
        <f t="shared" si="26"/>
        <v>1.1671335200746966E-2</v>
      </c>
      <c r="J70" s="6" t="s">
        <v>9</v>
      </c>
      <c r="K70" s="101" t="str">
        <f t="shared" si="27"/>
        <v>-</v>
      </c>
      <c r="L70" s="6" t="s">
        <v>9</v>
      </c>
      <c r="M70" s="101" t="str">
        <f t="shared" si="28"/>
        <v>-</v>
      </c>
      <c r="N70" s="6" t="s">
        <v>9</v>
      </c>
      <c r="O70" s="101" t="str">
        <f t="shared" si="29"/>
        <v>-</v>
      </c>
      <c r="P70" s="6" t="s">
        <v>9</v>
      </c>
      <c r="Q70" s="101" t="str">
        <f t="shared" si="30"/>
        <v>-</v>
      </c>
      <c r="R70" s="6" t="s">
        <v>77</v>
      </c>
      <c r="S70" s="101" t="str">
        <f t="shared" si="31"/>
        <v>-</v>
      </c>
      <c r="T70" s="6" t="s">
        <v>77</v>
      </c>
      <c r="U70" s="101" t="str">
        <f t="shared" si="32"/>
        <v>-</v>
      </c>
      <c r="V70" s="17" t="s">
        <v>280</v>
      </c>
      <c r="W70" s="101" t="str">
        <f t="shared" si="22"/>
        <v>-</v>
      </c>
    </row>
    <row r="71" spans="1:23" ht="20.100000000000001" customHeight="1">
      <c r="A71" s="98" t="s">
        <v>345</v>
      </c>
      <c r="B71" s="6" t="s">
        <v>9</v>
      </c>
      <c r="C71" s="101" t="str">
        <f t="shared" si="23"/>
        <v>-</v>
      </c>
      <c r="D71" s="6" t="s">
        <v>9</v>
      </c>
      <c r="E71" s="101" t="str">
        <f t="shared" si="24"/>
        <v>-</v>
      </c>
      <c r="F71" s="6" t="s">
        <v>9</v>
      </c>
      <c r="G71" s="101" t="str">
        <f t="shared" si="25"/>
        <v>-</v>
      </c>
      <c r="H71" s="6">
        <v>1</v>
      </c>
      <c r="I71" s="101">
        <f t="shared" si="26"/>
        <v>1.1671335200746966E-2</v>
      </c>
      <c r="J71" s="6" t="s">
        <v>9</v>
      </c>
      <c r="K71" s="101" t="str">
        <f t="shared" si="27"/>
        <v>-</v>
      </c>
      <c r="L71" s="6">
        <v>1</v>
      </c>
      <c r="M71" s="101">
        <f t="shared" si="28"/>
        <v>1.1837121212121212E-2</v>
      </c>
      <c r="N71" s="6" t="s">
        <v>9</v>
      </c>
      <c r="O71" s="101" t="str">
        <f t="shared" si="29"/>
        <v>-</v>
      </c>
      <c r="P71" s="6" t="s">
        <v>9</v>
      </c>
      <c r="Q71" s="101" t="str">
        <f t="shared" si="30"/>
        <v>-</v>
      </c>
      <c r="R71" s="6" t="s">
        <v>77</v>
      </c>
      <c r="S71" s="101" t="str">
        <f t="shared" si="31"/>
        <v>-</v>
      </c>
      <c r="T71" s="6" t="s">
        <v>77</v>
      </c>
      <c r="U71" s="101" t="str">
        <f t="shared" si="32"/>
        <v>-</v>
      </c>
      <c r="V71" s="17" t="s">
        <v>280</v>
      </c>
      <c r="W71" s="101" t="str">
        <f t="shared" si="22"/>
        <v>-</v>
      </c>
    </row>
    <row r="72" spans="1:23" ht="20.100000000000001" customHeight="1">
      <c r="A72" s="27" t="s">
        <v>346</v>
      </c>
      <c r="B72" s="6" t="s">
        <v>9</v>
      </c>
      <c r="C72" s="101" t="str">
        <f t="shared" si="23"/>
        <v>-</v>
      </c>
      <c r="D72" s="6" t="s">
        <v>9</v>
      </c>
      <c r="E72" s="101" t="str">
        <f t="shared" si="24"/>
        <v>-</v>
      </c>
      <c r="F72" s="6" t="s">
        <v>9</v>
      </c>
      <c r="G72" s="101" t="str">
        <f t="shared" si="25"/>
        <v>-</v>
      </c>
      <c r="H72" s="6" t="s">
        <v>9</v>
      </c>
      <c r="I72" s="101" t="str">
        <f t="shared" si="26"/>
        <v>-</v>
      </c>
      <c r="J72" s="6" t="s">
        <v>9</v>
      </c>
      <c r="K72" s="101" t="str">
        <f t="shared" si="27"/>
        <v>-</v>
      </c>
      <c r="L72" s="6">
        <v>1</v>
      </c>
      <c r="M72" s="101">
        <f t="shared" si="28"/>
        <v>1.1837121212121212E-2</v>
      </c>
      <c r="N72" s="6">
        <f>1+1</f>
        <v>2</v>
      </c>
      <c r="O72" s="101">
        <f t="shared" si="29"/>
        <v>2.5176233635448138E-2</v>
      </c>
      <c r="P72" s="6">
        <f>1+0</f>
        <v>1</v>
      </c>
      <c r="Q72" s="101">
        <f t="shared" si="30"/>
        <v>1.2773023374632776E-2</v>
      </c>
      <c r="R72" s="6" t="s">
        <v>77</v>
      </c>
      <c r="S72" s="101" t="str">
        <f t="shared" si="31"/>
        <v>-</v>
      </c>
      <c r="T72" s="6" t="s">
        <v>77</v>
      </c>
      <c r="U72" s="101" t="str">
        <f t="shared" si="32"/>
        <v>-</v>
      </c>
      <c r="V72" s="17" t="s">
        <v>280</v>
      </c>
      <c r="W72" s="101" t="str">
        <f t="shared" si="22"/>
        <v>-</v>
      </c>
    </row>
    <row r="73" spans="1:23" ht="20.100000000000001" customHeight="1">
      <c r="A73" s="38" t="s">
        <v>348</v>
      </c>
      <c r="B73" s="8" t="s">
        <v>9</v>
      </c>
      <c r="C73" s="102" t="str">
        <f t="shared" si="23"/>
        <v>-</v>
      </c>
      <c r="D73" s="8" t="s">
        <v>9</v>
      </c>
      <c r="E73" s="102" t="str">
        <f t="shared" si="24"/>
        <v>-</v>
      </c>
      <c r="F73" s="8" t="s">
        <v>9</v>
      </c>
      <c r="G73" s="102" t="str">
        <f t="shared" si="25"/>
        <v>-</v>
      </c>
      <c r="H73" s="8" t="s">
        <v>9</v>
      </c>
      <c r="I73" s="102" t="str">
        <f t="shared" si="26"/>
        <v>-</v>
      </c>
      <c r="J73" s="8" t="s">
        <v>9</v>
      </c>
      <c r="K73" s="102" t="str">
        <f t="shared" si="27"/>
        <v>-</v>
      </c>
      <c r="L73" s="8">
        <v>1</v>
      </c>
      <c r="M73" s="102">
        <f t="shared" si="28"/>
        <v>1.1837121212121212E-2</v>
      </c>
      <c r="N73" s="8">
        <v>1</v>
      </c>
      <c r="O73" s="102">
        <f t="shared" si="29"/>
        <v>1.2588116817724069E-2</v>
      </c>
      <c r="P73" s="8" t="s">
        <v>9</v>
      </c>
      <c r="Q73" s="102" t="str">
        <f t="shared" si="30"/>
        <v>-</v>
      </c>
      <c r="R73" s="8" t="s">
        <v>77</v>
      </c>
      <c r="S73" s="102" t="str">
        <f t="shared" si="31"/>
        <v>-</v>
      </c>
      <c r="T73" s="8" t="s">
        <v>77</v>
      </c>
      <c r="U73" s="102" t="str">
        <f t="shared" si="32"/>
        <v>-</v>
      </c>
      <c r="V73" s="54" t="s">
        <v>280</v>
      </c>
      <c r="W73" s="102" t="str">
        <f t="shared" si="22"/>
        <v>-</v>
      </c>
    </row>
    <row r="74" spans="1:23">
      <c r="A74" s="74" t="s">
        <v>184</v>
      </c>
      <c r="B74" s="104"/>
      <c r="C74" s="99"/>
      <c r="D74" s="104"/>
      <c r="E74" s="99"/>
      <c r="F74" s="104"/>
      <c r="G74" s="99"/>
      <c r="H74" s="104"/>
      <c r="I74" s="99"/>
      <c r="J74" s="104"/>
      <c r="K74" s="99"/>
      <c r="L74" s="104"/>
      <c r="M74" s="99"/>
      <c r="N74" s="104"/>
      <c r="O74" s="99"/>
      <c r="P74" s="104"/>
      <c r="Q74" s="99"/>
      <c r="R74" s="104"/>
      <c r="S74" s="99"/>
      <c r="T74" s="104"/>
      <c r="U74" s="99"/>
      <c r="V74" s="55"/>
      <c r="W74" s="60"/>
    </row>
    <row r="75" spans="1:23">
      <c r="A75" s="446" t="s">
        <v>617</v>
      </c>
      <c r="B75" s="446"/>
      <c r="C75" s="446"/>
      <c r="D75" s="446"/>
      <c r="E75" s="446"/>
      <c r="F75" s="446"/>
      <c r="G75" s="446"/>
      <c r="H75" s="446"/>
      <c r="I75" s="446"/>
      <c r="J75" s="446"/>
      <c r="K75" s="446"/>
      <c r="L75" s="446"/>
      <c r="M75" s="446"/>
      <c r="N75" s="446"/>
      <c r="O75" s="446"/>
      <c r="P75" s="446"/>
      <c r="Q75" s="446"/>
      <c r="R75" s="446"/>
      <c r="S75" s="446"/>
      <c r="T75" s="446"/>
      <c r="U75" s="446"/>
      <c r="V75" s="213"/>
      <c r="W75" s="226"/>
    </row>
    <row r="76" spans="1:23">
      <c r="A76" s="106"/>
      <c r="B76" s="104"/>
      <c r="C76" s="99"/>
      <c r="D76" s="104"/>
      <c r="E76" s="99"/>
      <c r="F76" s="104"/>
      <c r="G76" s="99"/>
      <c r="H76" s="104"/>
      <c r="I76" s="99"/>
      <c r="J76" s="104"/>
      <c r="K76" s="99"/>
      <c r="L76" s="104"/>
      <c r="M76" s="99"/>
      <c r="N76" s="104"/>
      <c r="O76" s="99"/>
      <c r="P76" s="104"/>
      <c r="Q76" s="99"/>
      <c r="R76" s="104"/>
      <c r="S76" s="99"/>
      <c r="T76" s="104"/>
      <c r="U76" s="99"/>
      <c r="V76" s="55"/>
      <c r="W76" s="60"/>
    </row>
  </sheetData>
  <sortState ref="A5:W77">
    <sortCondition descending="1" ref="V5:V77"/>
  </sortState>
  <mergeCells count="13">
    <mergeCell ref="A1:W1"/>
    <mergeCell ref="T2:U2"/>
    <mergeCell ref="V2:W2"/>
    <mergeCell ref="A75:U75"/>
    <mergeCell ref="B2:C2"/>
    <mergeCell ref="D2:E2"/>
    <mergeCell ref="F2:G2"/>
    <mergeCell ref="H2:I2"/>
    <mergeCell ref="J2:K2"/>
    <mergeCell ref="L2:M2"/>
    <mergeCell ref="N2:O2"/>
    <mergeCell ref="P2:Q2"/>
    <mergeCell ref="R2:S2"/>
  </mergeCells>
  <phoneticPr fontId="2" type="noConversion"/>
  <hyperlinks>
    <hyperlink ref="X1" location="本篇表次!A1" display="回本篇表次"/>
  </hyperlinks>
  <printOptions horizontalCentered="1" verticalCentered="1"/>
  <pageMargins left="0.70866141732283472" right="0.70866141732283472" top="0.74803149606299213" bottom="0.74803149606299213" header="0.31496062992125984" footer="0.31496062992125984"/>
  <pageSetup paperSize="224"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43</vt:i4>
      </vt:variant>
      <vt:variant>
        <vt:lpstr>已命名的範圍</vt:lpstr>
      </vt:variant>
      <vt:variant>
        <vt:i4>23</vt:i4>
      </vt:variant>
    </vt:vector>
  </HeadingPairs>
  <TitlesOfParts>
    <vt:vector size="66" baseType="lpstr">
      <vt:lpstr>本篇表次</vt:lpstr>
      <vt:lpstr>本篇表次對應少年事件程序圖</vt:lpstr>
      <vt:lpstr>3-1-1</vt:lpstr>
      <vt:lpstr>3-1-2</vt:lpstr>
      <vt:lpstr>3-2-1</vt:lpstr>
      <vt:lpstr>3-2-2</vt:lpstr>
      <vt:lpstr>3-2-3</vt:lpstr>
      <vt:lpstr>3-2-4</vt:lpstr>
      <vt:lpstr>3-2-5</vt:lpstr>
      <vt:lpstr>3-2-6</vt:lpstr>
      <vt:lpstr>3-2-7</vt:lpstr>
      <vt:lpstr>3-2-8</vt:lpstr>
      <vt:lpstr>3-2-9</vt:lpstr>
      <vt:lpstr>3-2-10</vt:lpstr>
      <vt:lpstr>3-2-11</vt:lpstr>
      <vt:lpstr>3-2-12</vt:lpstr>
      <vt:lpstr>3-2-13</vt:lpstr>
      <vt:lpstr>3-2-14</vt:lpstr>
      <vt:lpstr>3-2-15</vt:lpstr>
      <vt:lpstr>3-2-16</vt:lpstr>
      <vt:lpstr>3-2-17</vt:lpstr>
      <vt:lpstr>3-2-18</vt:lpstr>
      <vt:lpstr>3-2-19</vt:lpstr>
      <vt:lpstr>3-2-20</vt:lpstr>
      <vt:lpstr>3-2-21</vt:lpstr>
      <vt:lpstr>3-2-22</vt:lpstr>
      <vt:lpstr>3-2-23</vt:lpstr>
      <vt:lpstr>3-2-24</vt:lpstr>
      <vt:lpstr>3-2-25</vt:lpstr>
      <vt:lpstr>3-2-26</vt:lpstr>
      <vt:lpstr>3-2-27</vt:lpstr>
      <vt:lpstr>3-3-1</vt:lpstr>
      <vt:lpstr>3-3-2</vt:lpstr>
      <vt:lpstr>3-3-3</vt:lpstr>
      <vt:lpstr>3-3-4</vt:lpstr>
      <vt:lpstr>3-3-5</vt:lpstr>
      <vt:lpstr>3-3-6</vt:lpstr>
      <vt:lpstr>3-3-7</vt:lpstr>
      <vt:lpstr>3-3-8</vt:lpstr>
      <vt:lpstr>3-3-9</vt:lpstr>
      <vt:lpstr>3-3-10</vt:lpstr>
      <vt:lpstr>3-3-11</vt:lpstr>
      <vt:lpstr>3-3-12</vt:lpstr>
      <vt:lpstr>'3-1-1'!Print_Area</vt:lpstr>
      <vt:lpstr>'3-1-2'!Print_Area</vt:lpstr>
      <vt:lpstr>'3-2-1'!Print_Area</vt:lpstr>
      <vt:lpstr>'3-2-10'!Print_Area</vt:lpstr>
      <vt:lpstr>'3-2-11'!Print_Area</vt:lpstr>
      <vt:lpstr>'3-2-12'!Print_Area</vt:lpstr>
      <vt:lpstr>'3-2-13'!Print_Area</vt:lpstr>
      <vt:lpstr>'3-2-14'!Print_Area</vt:lpstr>
      <vt:lpstr>'3-2-15'!Print_Area</vt:lpstr>
      <vt:lpstr>'3-2-16'!Print_Area</vt:lpstr>
      <vt:lpstr>'3-2-17'!Print_Area</vt:lpstr>
      <vt:lpstr>'3-2-18'!Print_Area</vt:lpstr>
      <vt:lpstr>'3-2-19'!Print_Area</vt:lpstr>
      <vt:lpstr>'3-2-2'!Print_Area</vt:lpstr>
      <vt:lpstr>'3-2-20'!Print_Area</vt:lpstr>
      <vt:lpstr>'3-2-21'!Print_Area</vt:lpstr>
      <vt:lpstr>'3-2-3'!Print_Area</vt:lpstr>
      <vt:lpstr>'3-2-4'!Print_Area</vt:lpstr>
      <vt:lpstr>'3-2-5'!Print_Area</vt:lpstr>
      <vt:lpstr>'3-2-6'!Print_Area</vt:lpstr>
      <vt:lpstr>'3-2-7'!Print_Area</vt:lpstr>
      <vt:lpstr>'3-2-8'!Print_Area</vt:lpstr>
      <vt:lpstr>'3-2-9'!Print_Area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蔡宜家</cp:lastModifiedBy>
  <cp:lastPrinted>2023-07-20T10:00:40Z</cp:lastPrinted>
  <dcterms:created xsi:type="dcterms:W3CDTF">2023-06-08T04:29:54Z</dcterms:created>
  <dcterms:modified xsi:type="dcterms:W3CDTF">2023-11-24T06:29:15Z</dcterms:modified>
</cp:coreProperties>
</file>